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bookViews>
    <workbookView activeTab="0"/>
  </bookViews>
  <sheets>
    <sheet name="Dashboard" sheetId="1" r:id="rId1"/>
    <sheet name="Operating Budget" sheetId="2" r:id="rId2"/>
    <sheet name="Staffing &amp; Labor Plan" sheetId="3" r:id="rId3"/>
    <sheet name="Assumptions &amp; Categories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3">
    <numFmt numFmtId="164" formatCode="$#,##0"/>
    <numFmt numFmtId="165" formatCode="0.0"/>
    <numFmt numFmtId="166" formatCode="0.0%"/>
  </numFmts>
  <fonts count="14">
    <font>
      <sz val="12"/>
      <color theme="1"/>
      <name val="Calibri"/>
      <family val="2"/>
      <scheme val="minor"/>
    </font>
    <font>
      <b/>
      <name val="Georgia"/>
      <sz val="22"/>
      <color rgb="FFFFFFFF"/>
    </font>
    <font>
      <b/>
      <sz val="11"/>
      <color rgb="FFECFDF5"/>
    </font>
    <font>
      <sz val="10"/>
      <color rgb="FFE2E8F0"/>
    </font>
    <font>
      <b/>
      <sz val="10"/>
      <color rgb="FF173F35"/>
    </font>
    <font>
      <b/>
      <sz val="9"/>
      <color rgb="FF173F35"/>
    </font>
    <font>
      <b/>
      <sz val="15"/>
      <color rgb="FFFFFFFF"/>
    </font>
    <font>
      <b/>
      <sz val="12"/>
      <color rgb="FFFFFFFF"/>
    </font>
    <font>
      <sz val="10"/>
      <color rgb="FF334155"/>
    </font>
    <font>
      <b/>
      <sz val="10"/>
      <color rgb="FF166534"/>
    </font>
    <font>
      <sz val="10"/>
      <color rgb="FF475569"/>
    </font>
    <font>
      <b/>
      <sz val="10"/>
      <color rgb="FF9A3412"/>
    </font>
    <font>
      <sz val="10"/>
      <color rgb="FF9A3412"/>
    </font>
    <font>
      <sz val="10"/>
      <color rgb="FF64748B"/>
    </font>
  </fonts>
  <fills count="11">
    <fill>
      <patternFill patternType="none"/>
    </fill>
    <fill>
      <patternFill patternType="gray125"/>
    </fill>
    <fill>
      <patternFill patternType="solid">
        <fgColor rgb="FF173F35"/>
        <bgColor indexed="64"/>
      </patternFill>
    </fill>
    <fill>
      <patternFill patternType="solid">
        <fgColor rgb="FFF59E0B"/>
        <bgColor indexed="64"/>
      </patternFill>
    </fill>
    <fill>
      <patternFill patternType="solid">
        <fgColor rgb="FFECFDF5"/>
        <bgColor indexed="64"/>
      </patternFill>
    </fill>
    <fill>
      <patternFill patternType="solid">
        <fgColor rgb="FFF1F5F9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0FDF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7ED"/>
        <bgColor indexed="64"/>
      </patternFill>
    </fill>
    <fill>
      <patternFill patternType="solid">
        <fgColor rgb="FFE2E8F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E2E8F0"/>
      </bottom>
      <diagonal/>
    </border>
    <border>
      <left/>
      <right/>
      <top/>
      <bottom style="mediumDashed">
        <color rgb="FFCBD5E1"/>
      </bottom>
      <diagonal/>
    </border>
    <border>
      <left/>
      <right/>
      <top/>
      <bottom style="thin">
        <color rgb="FFFED7AA"/>
      </bottom>
      <diagonal/>
    </border>
  </borders>
  <cellStyleXfs count="1">
    <xf numFmtId="0" fontId="0" fillId="0" borderId="0"/>
  </cellStyleXfs>
  <cellXfs count="35">
    <xf numFmtId="0" fontId="0" fillId="0" borderId="0" xfId="0" applyNumberFormat="1"/>
    <xf numFmtId="164" fontId="0" fillId="0" borderId="0" xfId="0" applyNumberFormat="1"/>
    <xf numFmtId="166" fontId="0" fillId="0" borderId="0" xfId="0" applyNumberFormat="1"/>
    <xf numFmtId="1" fontId="0" fillId="0" borderId="0" xfId="0" applyNumberFormat="1"/>
    <xf numFmtId="165" fontId="0" fillId="0" borderId="0" xfId="0" applyNumberFormat="1"/>
    <xf numFmtId="0" fontId="1" fillId="2" borderId="0" applyFont="1" applyFill="1" xfId="0" applyAlignment="1">
      <alignment horizontal="left" vertical="center"/>
    </xf>
    <xf numFmtId="0" fontId="2" fillId="2" borderId="0" applyFont="1" applyFill="1" xfId="0" applyAlignment="1">
      <alignment horizontal="right" vertical="center"/>
    </xf>
    <xf numFmtId="0" fontId="3" fillId="2" borderId="0" applyFont="1" applyFill="1" xfId="0" applyAlignment="1">
      <alignment horizontal="left" vertical="center" wrapText="1"/>
    </xf>
    <xf numFmtId="0" fontId="0" fillId="3" borderId="0" applyFill="1" xfId="0"/>
    <xf numFmtId="0" fontId="4" fillId="4" borderId="0" applyFont="1" applyFill="1" xfId="0" applyAlignment="1">
      <alignment horizontal="left" vertical="center"/>
    </xf>
    <xf numFmtId="0" fontId="4" fillId="4" borderId="0" applyFont="1" applyFill="1" xfId="0" applyAlignment="1">
      <alignment horizontal="center" vertical="center"/>
    </xf>
    <xf numFmtId="0" fontId="4" fillId="4" borderId="0" applyFont="1" applyFill="1" xfId="0" applyAlignment="1">
      <alignment horizontal="right" vertical="center"/>
    </xf>
    <xf numFmtId="0" fontId="5" fillId="4" borderId="1" applyFont="1" applyFill="1" applyBorder="1" xfId="0" applyAlignment="1">
      <alignment horizontal="left" vertical="center"/>
    </xf>
    <xf numFmtId="164" fontId="6" fillId="2" borderId="0" applyNumberFormat="1" applyFont="1" applyFill="1" xfId="0" applyAlignment="1">
      <alignment horizontal="center" vertical="center"/>
    </xf>
    <xf numFmtId="166" fontId="6" fillId="2" borderId="0" applyNumberFormat="1" applyFont="1" applyFill="1" xfId="0" applyAlignment="1">
      <alignment horizontal="center" vertical="center"/>
    </xf>
    <xf numFmtId="1" fontId="7" fillId="2" borderId="0" applyNumberFormat="1" applyFont="1" applyFill="1" xfId="0" applyAlignment="1">
      <alignment horizontal="center" vertical="center" wrapText="1"/>
    </xf>
    <xf numFmtId="0" fontId="5" fillId="5" borderId="2" applyFont="1" applyFill="1" applyBorder="1" xfId="0" applyAlignment="1">
      <alignment horizontal="left" vertical="center"/>
    </xf>
    <xf numFmtId="0" fontId="5" fillId="5" borderId="2" applyFont="1" applyFill="1" applyBorder="1" xfId="0" applyAlignment="1">
      <alignment horizontal="center" vertical="center"/>
    </xf>
    <xf numFmtId="0" fontId="5" fillId="5" borderId="2" applyFont="1" applyFill="1" applyBorder="1" xfId="0" applyAlignment="1">
      <alignment horizontal="right" vertical="center"/>
    </xf>
    <xf numFmtId="0" fontId="8" fillId="6" borderId="1" applyFont="1" applyFill="1" applyBorder="1" xfId="0" applyAlignment="1">
      <alignment horizontal="left" vertical="center" wrapText="1"/>
    </xf>
    <xf numFmtId="164" fontId="9" fillId="4" borderId="1" applyNumberFormat="1" applyFont="1" applyFill="1" applyBorder="1" xfId="0" applyAlignment="1">
      <alignment horizontal="center" vertical="center"/>
    </xf>
    <xf numFmtId="166" fontId="9" fillId="7" borderId="1" applyNumberFormat="1" applyFont="1" applyFill="1" applyBorder="1" xfId="0" applyAlignment="1">
      <alignment horizontal="center" vertical="center"/>
    </xf>
    <xf numFmtId="0" fontId="10" fillId="6" borderId="1" applyFont="1" applyFill="1" applyBorder="1" xfId="0" applyAlignment="1">
      <alignment horizontal="left" vertical="center" wrapText="1"/>
    </xf>
    <xf numFmtId="0" fontId="8" fillId="8" borderId="1" applyFont="1" applyFill="1" applyBorder="1" xfId="0" applyAlignment="1">
      <alignment horizontal="left" vertical="center" wrapText="1"/>
    </xf>
    <xf numFmtId="164" fontId="9" fillId="7" borderId="1" applyNumberFormat="1" applyFont="1" applyFill="1" applyBorder="1" xfId="0" applyAlignment="1">
      <alignment horizontal="center" vertical="center"/>
    </xf>
    <xf numFmtId="0" fontId="10" fillId="8" borderId="1" applyFont="1" applyFill="1" applyBorder="1" xfId="0" applyAlignment="1">
      <alignment horizontal="left" vertical="center" wrapText="1"/>
    </xf>
    <xf numFmtId="0" fontId="11" fillId="9" borderId="0" applyFont="1" applyFill="1" xfId="0" applyAlignment="1">
      <alignment horizontal="left" vertical="center" wrapText="1"/>
    </xf>
    <xf numFmtId="164" fontId="12" fillId="9" borderId="3" applyNumberFormat="1" applyFont="1" applyFill="1" applyBorder="1" xfId="0" applyAlignment="1">
      <alignment horizontal="center" vertical="center"/>
    </xf>
    <xf numFmtId="164" fontId="4" fillId="10" borderId="2" applyNumberFormat="1" applyFont="1" applyFill="1" applyBorder="1" xfId="0" applyAlignment="1">
      <alignment horizontal="center" vertical="center"/>
    </xf>
    <xf numFmtId="0" fontId="4" fillId="10" borderId="2" applyFont="1" applyFill="1" applyBorder="1" xfId="0" applyAlignment="1">
      <alignment horizontal="left" vertical="center"/>
    </xf>
    <xf numFmtId="166" fontId="4" fillId="10" borderId="2" applyNumberFormat="1" applyFont="1" applyFill="1" applyBorder="1" xfId="0" applyAlignment="1">
      <alignment horizontal="center" vertical="center"/>
    </xf>
    <xf numFmtId="1" fontId="12" fillId="9" borderId="3" applyNumberFormat="1" applyFont="1" applyFill="1" applyBorder="1" xfId="0" applyAlignment="1">
      <alignment horizontal="center" vertical="center"/>
    </xf>
    <xf numFmtId="165" fontId="12" fillId="9" borderId="3" applyNumberFormat="1" applyFont="1" applyFill="1" applyBorder="1" xfId="0" applyAlignment="1">
      <alignment horizontal="center" vertical="center"/>
    </xf>
    <xf numFmtId="0" fontId="13" fillId="6" borderId="0" applyFont="1" applyFill="1" xfId="0" applyAlignment="1">
      <alignment horizontal="left" vertical="center" wrapText="1"/>
    </xf>
    <xf numFmtId="166" fontId="12" fillId="9" borderId="3" applyNumberFormat="1" applyFont="1" applyFill="1" applyBorder="1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9"/>
  <sheetViews>
    <sheetView workbookViewId="0" showGridLines="0"/>
  </sheetViews>
  <sheetFormatPr defaultColWidth="14.6640625" defaultRowHeight="18"/>
  <cols>
    <col min="1" max="1" width="17.33203125" customWidth="1"/>
    <col min="2" max="2" width="19.6640625" customWidth="1"/>
    <col min="3" max="3" width="22.00390625" customWidth="1"/>
    <col min="4" max="4" width="19.6640625" customWidth="1"/>
    <col min="5" max="5" width="17.33203125" customWidth="1"/>
    <col min="6" max="6" width="19.6640625" customWidth="1"/>
    <col min="7" max="7" width="17.6640625" customWidth="1"/>
    <col min="8" max="8" width="40.83203125" customWidth="1"/>
    <col min="9" max="9" width="4.00390625" customWidth="1"/>
    <col min="10" max="10" width="17.33203125" customWidth="1"/>
    <col min="11" max="11" width="17.33203125" customWidth="1"/>
    <col min="12" max="12" width="17.33203125" customWidth="1"/>
  </cols>
  <sheetData>
    <row r="1" ht="40.5" customHeight="1">
      <c r="A1" t="str" s="5">
        <v>Restaurant Budget Dashboard</v>
      </c>
      <c r="G1" t="str" s="6">
        <v>ANNUAL OPERATING VIEW</v>
      </c>
    </row>
    <row r="2" ht="22.5" customHeight="1">
      <c r="A2" t="str" s="7">
        <v>See sales, food and beverage cost, labor, prime cost, and operating margin without rebuilding the monthly budget.</v>
      </c>
    </row>
    <row r="3" ht="6" customHeight="1">
      <c r="A3" s="8"/>
    </row>
    <row r="4" ht="18" customHeight="1">
      <c r="A4" t="str" s="9">
        <v>Linked to Operating Budget</v>
      </c>
      <c r="E4" t="str" s="10">
        <v>Linked to Staffing &amp; Labor Plan</v>
      </c>
      <c r="I4" t="str" s="11">
        <v>Sample data — replace before use</v>
      </c>
    </row>
    <row r="6" ht="18" customHeight="1">
      <c r="A6" t="str" s="9">
        <v>EXECUTIVE SCORECARD</v>
      </c>
    </row>
    <row r="7" ht="18" customHeight="1">
      <c r="A7" t="str" s="12">
        <v>Actual net sales</v>
      </c>
      <c r="D7" t="str" s="12">
        <v>Actual operating income</v>
      </c>
      <c r="G7" t="str" s="12">
        <v>Actual food &amp; beverage cost</v>
      </c>
      <c r="J7" t="str" s="12">
        <v>Actual labor %</v>
      </c>
    </row>
    <row r="8" ht="31.5" customHeight="1">
      <c r="A8" s="13">
        <f>'Operating Budget'!AA13</f>
        <v>2042081</v>
      </c>
      <c r="D8" s="13">
        <f>'Operating Budget'!AA34</f>
        <v>419131</v>
      </c>
      <c r="G8" s="14">
        <f>IFERROR('Operating Budget'!AA16/'Operating Budget'!AA13,0)</f>
        <v>0.309785459048882</v>
      </c>
      <c r="J8" s="14">
        <f>IFERROR('Operating Budget'!AA38/'Operating Budget'!AA13,0)</f>
        <v>0.2979254985478049</v>
      </c>
    </row>
    <row r="10" ht="18" customHeight="1">
      <c r="A10" t="str" s="12">
        <v>Actual prime cost %</v>
      </c>
      <c r="D10" t="str" s="12">
        <v>Actual operating margin</v>
      </c>
      <c r="G10" t="str" s="12">
        <v>Annual plan variance</v>
      </c>
      <c r="J10" t="str" s="12">
        <v>Locations in plan</v>
      </c>
    </row>
    <row r="11" ht="31.5" customHeight="1">
      <c r="A11" s="14">
        <f>'Operating Budget'!AA40</f>
        <v>0.6077109575966869</v>
      </c>
      <c r="D11" s="14">
        <f>'Operating Budget'!AA35</f>
        <v>0.20524700048626868</v>
      </c>
      <c r="G11" s="13">
        <f>'Operating Budget'!AB34</f>
        <v>4735.28</v>
      </c>
      <c r="J11" s="15">
        <f>'Assumptions &amp; Categories'!B11</f>
        <v>1</v>
      </c>
    </row>
    <row r="13" ht="18" customHeight="1">
      <c r="A13" t="str" s="9">
        <v>MONTHLY ACTUAL PERFORMANCE</v>
      </c>
    </row>
    <row r="14" ht="21" customHeight="1">
      <c r="A14" t="str" s="16">
        <v>Month</v>
      </c>
      <c r="B14" t="str" s="17">
        <v>Net sales</v>
      </c>
      <c r="C14" t="str" s="17">
        <v>Food &amp; beverage cost</v>
      </c>
      <c r="D14" t="str" s="17">
        <v>Total labor</v>
      </c>
      <c r="E14" t="str" s="17">
        <v>Prime cost %</v>
      </c>
      <c r="F14" t="str" s="17">
        <v>Operating income</v>
      </c>
      <c r="G14" t="str" s="17">
        <v>Operating margin</v>
      </c>
      <c r="H14" t="str" s="18">
        <v>Review note</v>
      </c>
    </row>
    <row r="15" ht="22.5" customHeight="1">
      <c r="A15" t="str" s="19">
        <v>Jan</v>
      </c>
      <c r="B15" s="20">
        <f>'Operating Budget'!C13</f>
        <v>143328</v>
      </c>
      <c r="C15" s="20">
        <f>'Operating Budget'!C16</f>
        <v>45148</v>
      </c>
      <c r="D15" s="20">
        <f>'Operating Budget'!C38</f>
        <v>47899</v>
      </c>
      <c r="E15" s="21">
        <f>'Operating Budget'!C40</f>
        <v>0.649189272158964</v>
      </c>
      <c r="F15" s="20">
        <f>'Operating Budget'!C34</f>
        <v>20159</v>
      </c>
      <c r="G15" s="21">
        <f>'Operating Budget'!C35</f>
        <v>0.14064941951328422</v>
      </c>
      <c r="H15" s="22"/>
    </row>
    <row r="16" ht="22.5" customHeight="1">
      <c r="A16" t="str" s="23">
        <v>Feb</v>
      </c>
      <c r="B16" s="24">
        <f>'Operating Budget'!E13</f>
        <v>134214</v>
      </c>
      <c r="C16" s="24">
        <f>'Operating Budget'!E16</f>
        <v>43217</v>
      </c>
      <c r="D16" s="24">
        <f>'Operating Budget'!E38</f>
        <v>46928</v>
      </c>
      <c r="E16" s="21">
        <f>'Operating Budget'!E40</f>
        <v>0.6716512435364418</v>
      </c>
      <c r="F16" s="24">
        <f>'Operating Budget'!E34</f>
        <v>14109</v>
      </c>
      <c r="G16" s="21">
        <f>'Operating Budget'!E35</f>
        <v>0.10512316151817247</v>
      </c>
      <c r="H16" t="str" s="25">
        <v>Food cost above plan; review purchasing and mix.</v>
      </c>
    </row>
    <row r="17" ht="22.5" customHeight="1">
      <c r="A17" t="str" s="19">
        <v>Mar</v>
      </c>
      <c r="B17" s="20">
        <f>'Operating Budget'!G13</f>
        <v>156348</v>
      </c>
      <c r="C17" s="20">
        <f>'Operating Budget'!G16</f>
        <v>47686</v>
      </c>
      <c r="D17" s="20">
        <f>'Operating Budget'!G38</f>
        <v>48948</v>
      </c>
      <c r="E17" s="21">
        <f>'Operating Budget'!G40</f>
        <v>0.6180699465295367</v>
      </c>
      <c r="F17" s="20">
        <f>'Operating Budget'!G34</f>
        <v>28601</v>
      </c>
      <c r="G17" s="21">
        <f>'Operating Budget'!G35</f>
        <v>0.1829316652595492</v>
      </c>
      <c r="H17" s="22"/>
    </row>
    <row r="18" ht="22.5" customHeight="1">
      <c r="A18" t="str" s="23">
        <v>Apr</v>
      </c>
      <c r="B18" s="24">
        <f>'Operating Budget'!I13</f>
        <v>158098</v>
      </c>
      <c r="C18" s="24">
        <f>'Operating Budget'!I16</f>
        <v>50275</v>
      </c>
      <c r="D18" s="24">
        <f>'Operating Budget'!I38</f>
        <v>49971</v>
      </c>
      <c r="E18" s="21">
        <f>'Operating Budget'!I40</f>
        <v>0.634075067363281</v>
      </c>
      <c r="F18" s="24">
        <f>'Operating Budget'!I34</f>
        <v>26816</v>
      </c>
      <c r="G18" s="21">
        <f>'Operating Budget'!I35</f>
        <v>0.16961631393186505</v>
      </c>
      <c r="H18" s="25"/>
    </row>
    <row r="19" ht="22.5" customHeight="1">
      <c r="A19" t="str" s="19">
        <v>May</v>
      </c>
      <c r="B19" s="20">
        <f>'Operating Budget'!K13</f>
        <v>174533</v>
      </c>
      <c r="C19" s="20">
        <f>'Operating Budget'!K16</f>
        <v>53931</v>
      </c>
      <c r="D19" s="20">
        <f>'Operating Budget'!K38</f>
        <v>51493</v>
      </c>
      <c r="E19" s="21">
        <f>'Operating Budget'!K40</f>
        <v>0.6040347670641082</v>
      </c>
      <c r="F19" s="20">
        <f>'Operating Budget'!K34</f>
        <v>37142</v>
      </c>
      <c r="G19" s="21">
        <f>'Operating Budget'!K35</f>
        <v>0.21280789306320294</v>
      </c>
      <c r="H19" s="22"/>
    </row>
    <row r="20" ht="22.5" customHeight="1">
      <c r="A20" t="str" s="23">
        <v>Jun</v>
      </c>
      <c r="B20" s="24">
        <f>'Operating Budget'!M13</f>
        <v>181926</v>
      </c>
      <c r="C20" s="24">
        <f>'Operating Budget'!M16</f>
        <v>55306</v>
      </c>
      <c r="D20" s="24">
        <f>'Operating Budget'!M38</f>
        <v>52517</v>
      </c>
      <c r="E20" s="21">
        <f>'Operating Budget'!M40</f>
        <v>0.5926750436990864</v>
      </c>
      <c r="F20" s="24">
        <f>'Operating Budget'!M34</f>
        <v>40966</v>
      </c>
      <c r="G20" s="21">
        <f>'Operating Budget'!M35</f>
        <v>0.22517946857513493</v>
      </c>
      <c r="H20" s="25"/>
    </row>
    <row r="21" ht="22.5" customHeight="1">
      <c r="A21" t="str" s="19">
        <v>Jul</v>
      </c>
      <c r="B21" s="20">
        <f>'Operating Budget'!O13</f>
        <v>199140</v>
      </c>
      <c r="C21" s="20">
        <f>'Operating Budget'!O16</f>
        <v>59344</v>
      </c>
      <c r="D21" s="20">
        <f>'Operating Budget'!O38</f>
        <v>53540</v>
      </c>
      <c r="E21" s="21">
        <f>'Operating Budget'!O40</f>
        <v>0.5668574871949382</v>
      </c>
      <c r="F21" s="20">
        <f>'Operating Budget'!O34</f>
        <v>52935</v>
      </c>
      <c r="G21" s="21">
        <f>'Operating Budget'!O35</f>
        <v>0.2658180174751431</v>
      </c>
      <c r="H21" t="str" s="22">
        <v>Strong seasonal sales with controlled prime cost.</v>
      </c>
    </row>
    <row r="22" ht="22.5" customHeight="1">
      <c r="A22" t="str" s="23">
        <v>Aug</v>
      </c>
      <c r="B22" s="24">
        <f>'Operating Budget'!Q13</f>
        <v>189899</v>
      </c>
      <c r="C22" s="24">
        <f>'Operating Budget'!Q16</f>
        <v>57160</v>
      </c>
      <c r="D22" s="24">
        <f>'Operating Budget'!Q38</f>
        <v>52567</v>
      </c>
      <c r="E22" s="21">
        <f>'Operating Budget'!Q40</f>
        <v>0.5778176820309744</v>
      </c>
      <c r="F22" s="24">
        <f>'Operating Budget'!Q34</f>
        <v>46875</v>
      </c>
      <c r="G22" s="21">
        <f>'Operating Budget'!Q35</f>
        <v>0.24684174218926902</v>
      </c>
      <c r="H22" s="25"/>
    </row>
    <row r="23" ht="22.5" customHeight="1">
      <c r="A23" t="str" s="19">
        <v>Sep</v>
      </c>
      <c r="B23" s="20">
        <f>'Operating Budget'!S13</f>
        <v>169137</v>
      </c>
      <c r="C23" s="20">
        <f>'Operating Budget'!S16</f>
        <v>52771</v>
      </c>
      <c r="D23" s="20">
        <f>'Operating Budget'!S38</f>
        <v>50596</v>
      </c>
      <c r="E23" s="21">
        <f>'Operating Budget'!S40</f>
        <v>0.6111436291290492</v>
      </c>
      <c r="F23" s="20">
        <f>'Operating Budget'!S34</f>
        <v>34152</v>
      </c>
      <c r="G23" s="21">
        <f>'Operating Budget'!S35</f>
        <v>0.20191915429503893</v>
      </c>
      <c r="H23" s="22"/>
    </row>
    <row r="24" ht="22.5" customHeight="1">
      <c r="A24" t="str" s="23">
        <v>Oct</v>
      </c>
      <c r="B24" s="24">
        <f>'Operating Budget'!U13</f>
        <v>165967</v>
      </c>
      <c r="C24" s="24">
        <f>'Operating Budget'!U16</f>
        <v>52446</v>
      </c>
      <c r="D24" s="24">
        <f>'Operating Budget'!U38</f>
        <v>49622</v>
      </c>
      <c r="E24" s="21">
        <f>'Operating Budget'!U40</f>
        <v>0.6149897268734146</v>
      </c>
      <c r="F24" s="24">
        <f>'Operating Budget'!U34</f>
        <v>32476</v>
      </c>
      <c r="G24" s="21">
        <f>'Operating Budget'!U35</f>
        <v>0.1956774539516892</v>
      </c>
      <c r="H24" s="25"/>
    </row>
    <row r="25" ht="22.5" customHeight="1">
      <c r="A25" t="str" s="19">
        <v>Nov</v>
      </c>
      <c r="B25" s="20">
        <f>'Operating Budget'!W13</f>
        <v>157481</v>
      </c>
      <c r="C25" s="20">
        <f>'Operating Budget'!W16</f>
        <v>50236</v>
      </c>
      <c r="D25" s="20">
        <f>'Operating Budget'!W38</f>
        <v>50146</v>
      </c>
      <c r="E25" s="21">
        <f>'Operating Budget'!W40</f>
        <v>0.6374229272102666</v>
      </c>
      <c r="F25" s="20">
        <f>'Operating Budget'!W34</f>
        <v>25449</v>
      </c>
      <c r="G25" s="21">
        <f>'Operating Budget'!W35</f>
        <v>0.16160044703805537</v>
      </c>
      <c r="H25" s="22"/>
    </row>
    <row r="26" ht="22.5" customHeight="1">
      <c r="A26" t="str" s="23">
        <v>Dec</v>
      </c>
      <c r="B26" s="24">
        <f>'Operating Budget'!Y13</f>
        <v>212010</v>
      </c>
      <c r="C26" s="24">
        <f>'Operating Budget'!Y16</f>
        <v>65087</v>
      </c>
      <c r="D26" s="24">
        <f>'Operating Budget'!Y38</f>
        <v>54161</v>
      </c>
      <c r="E26" s="21">
        <f>'Operating Budget'!Y40</f>
        <v>0.5624640347153436</v>
      </c>
      <c r="F26" s="24">
        <f>'Operating Budget'!Y34</f>
        <v>59451</v>
      </c>
      <c r="G26" s="21">
        <f>'Operating Budget'!Y35</f>
        <v>0.28041601811235317</v>
      </c>
      <c r="H26" s="25"/>
    </row>
    <row r="29" ht="28.5" customHeight="1">
      <c r="A29" t="str" s="26">
        <v>Prime cost is food and beverage COGS plus hourly and salaried labor. This workbook does not apply an industry target; compare results with your own plan.</v>
      </c>
    </row>
  </sheetData>
  <mergeCells count="26">
    <mergeCell ref="A1:F1"/>
    <mergeCell ref="G1:L1"/>
    <mergeCell ref="A2:L2"/>
    <mergeCell ref="A3:L3"/>
    <mergeCell ref="A4:D4"/>
    <mergeCell ref="E4:H4"/>
    <mergeCell ref="I4:L4"/>
    <mergeCell ref="A6:L6"/>
    <mergeCell ref="A7:C7"/>
    <mergeCell ref="D7:F7"/>
    <mergeCell ref="G7:I7"/>
    <mergeCell ref="J7:L7"/>
    <mergeCell ref="A8:C8"/>
    <mergeCell ref="D8:F8"/>
    <mergeCell ref="G8:I8"/>
    <mergeCell ref="J8:L8"/>
    <mergeCell ref="A10:C10"/>
    <mergeCell ref="D10:F10"/>
    <mergeCell ref="G10:I10"/>
    <mergeCell ref="J10:L10"/>
    <mergeCell ref="A11:C11"/>
    <mergeCell ref="D11:F11"/>
    <mergeCell ref="G11:I11"/>
    <mergeCell ref="J11:L11"/>
    <mergeCell ref="A13:L13"/>
    <mergeCell ref="A29:L29"/>
  </mergeCells>
  <ignoredErrors>
    <ignoredError numberStoredAsText="1" sqref="A1:J29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B42"/>
  <sheetViews>
    <sheetView workbookViewId="0" showGridLines="0"/>
  </sheetViews>
  <sheetFormatPr defaultColWidth="14.6640625" defaultRowHeight="18"/>
  <cols>
    <col min="1" max="1" width="31.6640625" customWidth="1"/>
    <col min="2" max="2" width="15.00390625" customWidth="1"/>
    <col min="3" max="3" width="15.00390625" customWidth="1"/>
    <col min="4" max="4" width="15.00390625" customWidth="1"/>
    <col min="5" max="5" width="15.00390625" customWidth="1"/>
    <col min="6" max="6" width="15.00390625" customWidth="1"/>
    <col min="7" max="7" width="15.00390625" customWidth="1"/>
    <col min="8" max="8" width="15.00390625" customWidth="1"/>
    <col min="9" max="9" width="15.00390625" customWidth="1"/>
    <col min="10" max="10" width="15.00390625" customWidth="1"/>
    <col min="11" max="11" width="15.00390625" customWidth="1"/>
    <col min="12" max="12" width="15.00390625" customWidth="1"/>
    <col min="13" max="13" width="15.00390625" customWidth="1"/>
    <col min="14" max="14" width="15.00390625" customWidth="1"/>
    <col min="15" max="15" width="15.00390625" customWidth="1"/>
    <col min="16" max="16" width="15.00390625" customWidth="1"/>
    <col min="17" max="17" width="15.00390625" customWidth="1"/>
    <col min="18" max="18" width="15.00390625" customWidth="1"/>
    <col min="19" max="19" width="15.00390625" customWidth="1"/>
    <col min="20" max="20" width="15.00390625" customWidth="1"/>
    <col min="21" max="21" width="15.00390625" customWidth="1"/>
    <col min="22" max="22" width="15.00390625" customWidth="1"/>
    <col min="23" max="23" width="15.00390625" customWidth="1"/>
    <col min="24" max="24" width="15.00390625" customWidth="1"/>
    <col min="25" max="25" width="15.00390625" customWidth="1"/>
    <col min="26" max="26" width="17.50390625" customWidth="1"/>
    <col min="27" max="27" width="17.50390625" customWidth="1"/>
    <col min="28" max="28" width="17.50390625" customWidth="1"/>
  </cols>
  <sheetData>
    <row r="1" ht="40.5" customHeight="1">
      <c r="A1" t="str" s="5">
        <v>Restaurant Operating Budget</v>
      </c>
      <c r="O1" t="str" s="6">
        <v>12-MONTH PLAN VS ACTUAL</v>
      </c>
    </row>
    <row r="2" ht="22.5" customHeight="1">
      <c r="A2" t="str" s="7">
        <v>Plan sales, food and beverage costs, labor, overhead, prime cost, and operating margin in one connected workbook.</v>
      </c>
    </row>
    <row r="3" ht="6" customHeight="1">
      <c r="A3" s="8"/>
    </row>
    <row r="4" ht="18" customHeight="1">
      <c r="A4" t="str" s="9">
        <v>Orange cells are editable inputs</v>
      </c>
      <c r="J4" t="str" s="10">
        <v>Green cells are formula-driven</v>
      </c>
      <c r="T4" t="str" s="11">
        <v>Sample figures — replace with your operation</v>
      </c>
    </row>
    <row r="6" ht="18" customHeight="1">
      <c r="A6" t="str" s="16">
        <v>Line item</v>
      </c>
      <c r="B6" t="str" s="17">
        <v>Jan</v>
      </c>
      <c r="D6" t="str" s="17">
        <v>Feb</v>
      </c>
      <c r="F6" t="str" s="17">
        <v>Mar</v>
      </c>
      <c r="H6" t="str" s="17">
        <v>Apr</v>
      </c>
      <c r="J6" t="str" s="17">
        <v>May</v>
      </c>
      <c r="L6" t="str" s="17">
        <v>Jun</v>
      </c>
      <c r="N6" t="str" s="17">
        <v>Jul</v>
      </c>
      <c r="P6" t="str" s="17">
        <v>Aug</v>
      </c>
      <c r="R6" t="str" s="17">
        <v>Sep</v>
      </c>
      <c r="T6" t="str" s="17">
        <v>Oct</v>
      </c>
      <c r="V6" t="str" s="17">
        <v>Nov</v>
      </c>
      <c r="X6" t="str" s="17">
        <v>Dec</v>
      </c>
      <c r="Z6" t="str" s="17">
        <v>Annual Plan</v>
      </c>
      <c r="AA6" t="str" s="17">
        <v>Annual Actual</v>
      </c>
      <c r="AB6" t="str" s="18">
        <v>Variance</v>
      </c>
    </row>
    <row r="7" ht="16.5" customHeight="1">
      <c r="B7" t="str" s="17">
        <v>Plan</v>
      </c>
      <c r="C7" t="str" s="17">
        <v>Actual</v>
      </c>
      <c r="D7" t="str" s="17">
        <v>Plan</v>
      </c>
      <c r="E7" t="str" s="17">
        <v>Actual</v>
      </c>
      <c r="F7" t="str" s="17">
        <v>Plan</v>
      </c>
      <c r="G7" t="str" s="17">
        <v>Actual</v>
      </c>
      <c r="H7" t="str" s="17">
        <v>Plan</v>
      </c>
      <c r="I7" t="str" s="17">
        <v>Actual</v>
      </c>
      <c r="J7" t="str" s="17">
        <v>Plan</v>
      </c>
      <c r="K7" t="str" s="17">
        <v>Actual</v>
      </c>
      <c r="L7" t="str" s="17">
        <v>Plan</v>
      </c>
      <c r="M7" t="str" s="17">
        <v>Actual</v>
      </c>
      <c r="N7" t="str" s="17">
        <v>Plan</v>
      </c>
      <c r="O7" t="str" s="17">
        <v>Actual</v>
      </c>
      <c r="P7" t="str" s="17">
        <v>Plan</v>
      </c>
      <c r="Q7" t="str" s="17">
        <v>Actual</v>
      </c>
      <c r="R7" t="str" s="17">
        <v>Plan</v>
      </c>
      <c r="S7" t="str" s="17">
        <v>Actual</v>
      </c>
      <c r="T7" t="str" s="17">
        <v>Plan</v>
      </c>
      <c r="U7" t="str" s="17">
        <v>Actual</v>
      </c>
      <c r="V7" t="str" s="17">
        <v>Plan</v>
      </c>
      <c r="W7" t="str" s="17">
        <v>Actual</v>
      </c>
      <c r="X7" t="str" s="17">
        <v>Plan</v>
      </c>
      <c r="Y7" t="str" s="17">
        <v>Actual</v>
      </c>
    </row>
    <row r="8" ht="18" customHeight="1">
      <c r="A8" t="str" s="9">
        <v>REVENUE</v>
      </c>
    </row>
    <row r="9" ht="21" customHeight="1">
      <c r="A9" t="str" s="19">
        <v>Dine-in sales</v>
      </c>
      <c r="B9" s="27">
        <v>95000</v>
      </c>
      <c r="C9" s="27">
        <v>91200</v>
      </c>
      <c r="D9" s="27">
        <v>92000</v>
      </c>
      <c r="E9" s="27">
        <v>86480</v>
      </c>
      <c r="F9" s="27">
        <v>98000</v>
      </c>
      <c r="G9" s="27">
        <v>98980</v>
      </c>
      <c r="H9" s="27">
        <v>102000</v>
      </c>
      <c r="I9" s="27">
        <v>99960</v>
      </c>
      <c r="J9" s="27">
        <v>106000</v>
      </c>
      <c r="K9" s="27">
        <v>110240</v>
      </c>
      <c r="L9" s="27">
        <v>112000</v>
      </c>
      <c r="M9" s="27">
        <v>114240</v>
      </c>
      <c r="N9" s="27">
        <v>118000</v>
      </c>
      <c r="O9" s="27">
        <v>125080</v>
      </c>
      <c r="P9" s="27">
        <v>116000</v>
      </c>
      <c r="Q9" s="27">
        <v>119480</v>
      </c>
      <c r="R9" s="27">
        <v>108000</v>
      </c>
      <c r="S9" s="27">
        <v>106920</v>
      </c>
      <c r="T9" s="27">
        <v>104000</v>
      </c>
      <c r="U9" s="27">
        <v>105040</v>
      </c>
      <c r="V9" s="27">
        <v>101000</v>
      </c>
      <c r="W9" s="27">
        <v>97970</v>
      </c>
      <c r="X9" s="27">
        <v>126000</v>
      </c>
      <c r="Y9" s="27">
        <v>132300</v>
      </c>
      <c r="Z9" s="28">
        <f>SUM(B9,D9,F9,H9,J9,L9,N9,P9,R9,T9,V9,X9)</f>
        <v>1278000</v>
      </c>
      <c r="AA9" s="28">
        <f>SUM(C9,E9,G9,I9,K9,M9,O9,Q9,S9,U9,W9,Y9)</f>
        <v>1287890</v>
      </c>
      <c r="AB9" s="28">
        <f>AA9-Z9</f>
        <v>9890</v>
      </c>
    </row>
    <row r="10" ht="21" customHeight="1">
      <c r="A10" t="str" s="23">
        <v>Takeout sales</v>
      </c>
      <c r="B10" s="27">
        <v>24000</v>
      </c>
      <c r="C10" s="27">
        <v>23112</v>
      </c>
      <c r="D10" s="27">
        <v>23000</v>
      </c>
      <c r="E10" s="27">
        <v>21689</v>
      </c>
      <c r="F10" s="27">
        <v>25000</v>
      </c>
      <c r="G10" s="27">
        <v>25325</v>
      </c>
      <c r="H10" s="27">
        <v>26000</v>
      </c>
      <c r="I10" s="27">
        <v>25558</v>
      </c>
      <c r="J10" s="27">
        <v>27000</v>
      </c>
      <c r="K10" s="27">
        <v>28161</v>
      </c>
      <c r="L10" s="27">
        <v>28000</v>
      </c>
      <c r="M10" s="27">
        <v>28644</v>
      </c>
      <c r="N10" s="27">
        <v>29000</v>
      </c>
      <c r="O10" s="27">
        <v>30827</v>
      </c>
      <c r="P10" s="27">
        <v>28500</v>
      </c>
      <c r="Q10" s="27">
        <v>29440</v>
      </c>
      <c r="R10" s="27">
        <v>27000</v>
      </c>
      <c r="S10" s="27">
        <v>26811</v>
      </c>
      <c r="T10" s="27">
        <v>26000</v>
      </c>
      <c r="U10" s="27">
        <v>26338</v>
      </c>
      <c r="V10" s="27">
        <v>25500</v>
      </c>
      <c r="W10" s="27">
        <v>24812</v>
      </c>
      <c r="X10" s="27">
        <v>30000</v>
      </c>
      <c r="Y10" s="27">
        <v>31590</v>
      </c>
      <c r="Z10" s="28">
        <f>SUM(B10,D10,F10,H10,J10,L10,N10,P10,R10,T10,V10,X10)</f>
        <v>319000</v>
      </c>
      <c r="AA10" s="28">
        <f>SUM(C10,E10,G10,I10,K10,M10,O10,Q10,S10,U10,W10,Y10)</f>
        <v>322307</v>
      </c>
      <c r="AB10" s="28">
        <f>AA10-Z10</f>
        <v>3307</v>
      </c>
    </row>
    <row r="11" ht="21" customHeight="1">
      <c r="A11" t="str" s="19">
        <v>Delivery sales</v>
      </c>
      <c r="B11" s="27">
        <v>18000</v>
      </c>
      <c r="C11" s="27">
        <v>17388</v>
      </c>
      <c r="D11" s="27">
        <v>17500</v>
      </c>
      <c r="E11" s="27">
        <v>16555</v>
      </c>
      <c r="F11" s="27">
        <v>18500</v>
      </c>
      <c r="G11" s="27">
        <v>18796</v>
      </c>
      <c r="H11" s="27">
        <v>19000</v>
      </c>
      <c r="I11" s="27">
        <v>18734</v>
      </c>
      <c r="J11" s="27">
        <v>19500</v>
      </c>
      <c r="K11" s="27">
        <v>20397</v>
      </c>
      <c r="L11" s="27">
        <v>20000</v>
      </c>
      <c r="M11" s="27">
        <v>20520</v>
      </c>
      <c r="N11" s="27">
        <v>20500</v>
      </c>
      <c r="O11" s="27">
        <v>21853</v>
      </c>
      <c r="P11" s="27">
        <v>20500</v>
      </c>
      <c r="Q11" s="27">
        <v>21238</v>
      </c>
      <c r="R11" s="27">
        <v>19500</v>
      </c>
      <c r="S11" s="27">
        <v>19422</v>
      </c>
      <c r="T11" s="27">
        <v>19000</v>
      </c>
      <c r="U11" s="27">
        <v>19304</v>
      </c>
      <c r="V11" s="27">
        <v>18500</v>
      </c>
      <c r="W11" s="27">
        <v>18056</v>
      </c>
      <c r="X11" s="27">
        <v>21500</v>
      </c>
      <c r="Y11" s="27">
        <v>22704</v>
      </c>
      <c r="Z11" s="28">
        <f>SUM(B11,D11,F11,H11,J11,L11,N11,P11,R11,T11,V11,X11)</f>
        <v>232000</v>
      </c>
      <c r="AA11" s="28">
        <f>SUM(C11,E11,G11,I11,K11,M11,O11,Q11,S11,U11,W11,Y11)</f>
        <v>234967</v>
      </c>
      <c r="AB11" s="28">
        <f>AA11-Z11</f>
        <v>2967</v>
      </c>
    </row>
    <row r="12" ht="21" customHeight="1">
      <c r="A12" t="str" s="23">
        <v>Catering &amp; events</v>
      </c>
      <c r="B12" s="27">
        <v>12000</v>
      </c>
      <c r="C12" s="27">
        <v>11628</v>
      </c>
      <c r="D12" s="27">
        <v>10000</v>
      </c>
      <c r="E12" s="27">
        <v>9490</v>
      </c>
      <c r="F12" s="27">
        <v>13000</v>
      </c>
      <c r="G12" s="27">
        <v>13247</v>
      </c>
      <c r="H12" s="27">
        <v>14000</v>
      </c>
      <c r="I12" s="27">
        <v>13846</v>
      </c>
      <c r="J12" s="27">
        <v>15000</v>
      </c>
      <c r="K12" s="27">
        <v>15735</v>
      </c>
      <c r="L12" s="27">
        <v>18000</v>
      </c>
      <c r="M12" s="27">
        <v>18522</v>
      </c>
      <c r="N12" s="27">
        <v>20000</v>
      </c>
      <c r="O12" s="27">
        <v>21380</v>
      </c>
      <c r="P12" s="27">
        <v>19000</v>
      </c>
      <c r="Q12" s="27">
        <v>19741</v>
      </c>
      <c r="R12" s="27">
        <v>16000</v>
      </c>
      <c r="S12" s="27">
        <v>15984</v>
      </c>
      <c r="T12" s="27">
        <v>15000</v>
      </c>
      <c r="U12" s="27">
        <v>15285</v>
      </c>
      <c r="V12" s="27">
        <v>17000</v>
      </c>
      <c r="W12" s="27">
        <v>16643</v>
      </c>
      <c r="X12" s="27">
        <v>24000</v>
      </c>
      <c r="Y12" s="27">
        <v>25416</v>
      </c>
      <c r="Z12" s="28">
        <f>SUM(B12,D12,F12,H12,J12,L12,N12,P12,R12,T12,V12,X12)</f>
        <v>193000</v>
      </c>
      <c r="AA12" s="28">
        <f>SUM(C12,E12,G12,I12,K12,M12,O12,Q12,S12,U12,W12,Y12)</f>
        <v>196917</v>
      </c>
      <c r="AB12" s="28">
        <f>AA12-Z12</f>
        <v>3917</v>
      </c>
    </row>
    <row r="13" ht="21" customHeight="1">
      <c r="A13" t="str" s="29">
        <v>Total net sales</v>
      </c>
      <c r="B13" s="20">
        <f>SUM(B9:B12)</f>
        <v>149000</v>
      </c>
      <c r="C13" s="20">
        <f>SUM(C9:C12)</f>
        <v>143328</v>
      </c>
      <c r="D13" s="20">
        <f>SUM(D9:D12)</f>
        <v>142500</v>
      </c>
      <c r="E13" s="20">
        <f>SUM(E9:E12)</f>
        <v>134214</v>
      </c>
      <c r="F13" s="20">
        <f>SUM(F9:F12)</f>
        <v>154500</v>
      </c>
      <c r="G13" s="20">
        <f>SUM(G9:G12)</f>
        <v>156348</v>
      </c>
      <c r="H13" s="20">
        <f>SUM(H9:H12)</f>
        <v>161000</v>
      </c>
      <c r="I13" s="20">
        <f>SUM(I9:I12)</f>
        <v>158098</v>
      </c>
      <c r="J13" s="20">
        <f>SUM(J9:J12)</f>
        <v>167500</v>
      </c>
      <c r="K13" s="20">
        <f>SUM(K9:K12)</f>
        <v>174533</v>
      </c>
      <c r="L13" s="20">
        <f>SUM(L9:L12)</f>
        <v>178000</v>
      </c>
      <c r="M13" s="20">
        <f>SUM(M9:M12)</f>
        <v>181926</v>
      </c>
      <c r="N13" s="20">
        <f>SUM(N9:N12)</f>
        <v>187500</v>
      </c>
      <c r="O13" s="20">
        <f>SUM(O9:O12)</f>
        <v>199140</v>
      </c>
      <c r="P13" s="20">
        <f>SUM(P9:P12)</f>
        <v>184000</v>
      </c>
      <c r="Q13" s="20">
        <f>SUM(Q9:Q12)</f>
        <v>189899</v>
      </c>
      <c r="R13" s="20">
        <f>SUM(R9:R12)</f>
        <v>170500</v>
      </c>
      <c r="S13" s="20">
        <f>SUM(S9:S12)</f>
        <v>169137</v>
      </c>
      <c r="T13" s="20">
        <f>SUM(T9:T12)</f>
        <v>164000</v>
      </c>
      <c r="U13" s="20">
        <f>SUM(U9:U12)</f>
        <v>165967</v>
      </c>
      <c r="V13" s="20">
        <f>SUM(V9:V12)</f>
        <v>162000</v>
      </c>
      <c r="W13" s="20">
        <f>SUM(W9:W12)</f>
        <v>157481</v>
      </c>
      <c r="X13" s="20">
        <f>SUM(X9:X12)</f>
        <v>201500</v>
      </c>
      <c r="Y13" s="20">
        <f>SUM(Y9:Y12)</f>
        <v>212010</v>
      </c>
      <c r="Z13" s="28">
        <f>SUM(B13,D13,F13,H13,J13,L13,N13,P13,R13,T13,V13,X13)</f>
        <v>2022000</v>
      </c>
      <c r="AA13" s="28">
        <f>SUM(C13,E13,G13,I13,K13,M13,O13,Q13,S13,U13,W13,Y13)</f>
        <v>2042081</v>
      </c>
      <c r="AB13" s="28">
        <f>AA13-Z13</f>
        <v>20081</v>
      </c>
    </row>
    <row r="14" ht="21" customHeight="1"/>
    <row r="15" ht="21" customHeight="1">
      <c r="A15" t="str" s="9">
        <v>DIRECT COSTS</v>
      </c>
    </row>
    <row r="16" ht="21" customHeight="1">
      <c r="A16" t="str" s="23">
        <v>Food &amp; beverage COGS</v>
      </c>
      <c r="B16" s="24">
        <f>B13*'Assumptions &amp; Categories'!$B$8</f>
        <v>46190</v>
      </c>
      <c r="C16" s="27">
        <v>45148</v>
      </c>
      <c r="D16" s="24">
        <f>D13*'Assumptions &amp; Categories'!$B$8</f>
        <v>44175</v>
      </c>
      <c r="E16" s="27">
        <v>43217</v>
      </c>
      <c r="F16" s="24">
        <f>F13*'Assumptions &amp; Categories'!$B$8</f>
        <v>47895</v>
      </c>
      <c r="G16" s="27">
        <v>47686</v>
      </c>
      <c r="H16" s="24">
        <f>H13*'Assumptions &amp; Categories'!$B$8</f>
        <v>49910</v>
      </c>
      <c r="I16" s="27">
        <v>50275</v>
      </c>
      <c r="J16" s="24">
        <f>J13*'Assumptions &amp; Categories'!$B$8</f>
        <v>51925</v>
      </c>
      <c r="K16" s="27">
        <v>53931</v>
      </c>
      <c r="L16" s="24">
        <f>L13*'Assumptions &amp; Categories'!$B$8</f>
        <v>55180</v>
      </c>
      <c r="M16" s="27">
        <v>55306</v>
      </c>
      <c r="N16" s="24">
        <f>N13*'Assumptions &amp; Categories'!$B$8</f>
        <v>58125</v>
      </c>
      <c r="O16" s="27">
        <v>59344</v>
      </c>
      <c r="P16" s="24">
        <f>P13*'Assumptions &amp; Categories'!$B$8</f>
        <v>57040</v>
      </c>
      <c r="Q16" s="27">
        <v>57160</v>
      </c>
      <c r="R16" s="24">
        <f>R13*'Assumptions &amp; Categories'!$B$8</f>
        <v>52855</v>
      </c>
      <c r="S16" s="27">
        <v>52771</v>
      </c>
      <c r="T16" s="24">
        <f>T13*'Assumptions &amp; Categories'!$B$8</f>
        <v>50840</v>
      </c>
      <c r="U16" s="27">
        <v>52446</v>
      </c>
      <c r="V16" s="24">
        <f>V13*'Assumptions &amp; Categories'!$B$8</f>
        <v>50220</v>
      </c>
      <c r="W16" s="27">
        <v>50236</v>
      </c>
      <c r="X16" s="24">
        <f>X13*'Assumptions &amp; Categories'!$B$8</f>
        <v>62465</v>
      </c>
      <c r="Y16" s="27">
        <v>65087</v>
      </c>
      <c r="Z16" s="28">
        <f>SUM(B16,D16,F16,H16,J16,L16,N16,P16,R16,T16,V16,X16)</f>
        <v>626820</v>
      </c>
      <c r="AA16" s="28">
        <f>SUM(C16,E16,G16,I16,K16,M16,O16,Q16,S16,U16,W16,Y16)</f>
        <v>632607</v>
      </c>
      <c r="AB16" s="28">
        <f>AA16-Z16</f>
        <v>5787</v>
      </c>
    </row>
    <row r="17" ht="21" customHeight="1">
      <c r="A17" t="str" s="19">
        <v>Hourly labor</v>
      </c>
      <c r="B17" s="20">
        <f>SUMIF('Staffing &amp; Labor Plan'!$B$7:$B$16,"Hourly",'Staffing &amp; Labor Plan'!$G$7:$G$16)</f>
        <v>38693.69</v>
      </c>
      <c r="C17" s="20">
        <f>SUMIF('Staffing &amp; Labor Plan'!$B$7:$B$16,"Hourly",'Staffing &amp; Labor Plan'!$H$7:$H$16)</f>
        <v>37171</v>
      </c>
      <c r="D17" s="20">
        <f>SUMIF('Staffing &amp; Labor Plan'!$B$7:$B$16,"Hourly",'Staffing &amp; Labor Plan'!$G$7:$G$16)</f>
        <v>38693.69</v>
      </c>
      <c r="E17" s="20">
        <f>SUMIF('Staffing &amp; Labor Plan'!$B$7:$B$16,"Hourly",'Staffing &amp; Labor Plan'!$I$7:$I$16)</f>
        <v>36418</v>
      </c>
      <c r="F17" s="20">
        <f>SUMIF('Staffing &amp; Labor Plan'!$B$7:$B$16,"Hourly",'Staffing &amp; Labor Plan'!$G$7:$G$16)</f>
        <v>38693.69</v>
      </c>
      <c r="G17" s="20">
        <f>SUMIF('Staffing &amp; Labor Plan'!$B$7:$B$16,"Hourly",'Staffing &amp; Labor Plan'!$J$7:$J$16)</f>
        <v>37985</v>
      </c>
      <c r="H17" s="20">
        <f>SUMIF('Staffing &amp; Labor Plan'!$B$7:$B$16,"Hourly",'Staffing &amp; Labor Plan'!$G$7:$G$16)</f>
        <v>38693.69</v>
      </c>
      <c r="I17" s="20">
        <f>SUMIF('Staffing &amp; Labor Plan'!$B$7:$B$16,"Hourly",'Staffing &amp; Labor Plan'!$K$7:$K$16)</f>
        <v>38778</v>
      </c>
      <c r="J17" s="20">
        <f>SUMIF('Staffing &amp; Labor Plan'!$B$7:$B$16,"Hourly",'Staffing &amp; Labor Plan'!$G$7:$G$16)</f>
        <v>38693.69</v>
      </c>
      <c r="K17" s="20">
        <f>SUMIF('Staffing &amp; Labor Plan'!$B$7:$B$16,"Hourly",'Staffing &amp; Labor Plan'!$L$7:$L$16)</f>
        <v>39959</v>
      </c>
      <c r="L17" s="20">
        <f>SUMIF('Staffing &amp; Labor Plan'!$B$7:$B$16,"Hourly",'Staffing &amp; Labor Plan'!$G$7:$G$16)</f>
        <v>38693.69</v>
      </c>
      <c r="M17" s="20">
        <f>SUMIF('Staffing &amp; Labor Plan'!$B$7:$B$16,"Hourly",'Staffing &amp; Labor Plan'!$M$7:$M$16)</f>
        <v>40753</v>
      </c>
      <c r="N17" s="20">
        <f>SUMIF('Staffing &amp; Labor Plan'!$B$7:$B$16,"Hourly",'Staffing &amp; Labor Plan'!$G$7:$G$16)</f>
        <v>38693.69</v>
      </c>
      <c r="O17" s="20">
        <f>SUMIF('Staffing &amp; Labor Plan'!$B$7:$B$16,"Hourly",'Staffing &amp; Labor Plan'!$N$7:$N$16)</f>
        <v>41546</v>
      </c>
      <c r="P17" s="20">
        <f>SUMIF('Staffing &amp; Labor Plan'!$B$7:$B$16,"Hourly",'Staffing &amp; Labor Plan'!$G$7:$G$16)</f>
        <v>38693.69</v>
      </c>
      <c r="Q17" s="20">
        <f>SUMIF('Staffing &amp; Labor Plan'!$B$7:$B$16,"Hourly",'Staffing &amp; Labor Plan'!$O$7:$O$16)</f>
        <v>40792</v>
      </c>
      <c r="R17" s="20">
        <f>SUMIF('Staffing &amp; Labor Plan'!$B$7:$B$16,"Hourly",'Staffing &amp; Labor Plan'!$G$7:$G$16)</f>
        <v>38693.69</v>
      </c>
      <c r="S17" s="20">
        <f>SUMIF('Staffing &amp; Labor Plan'!$B$7:$B$16,"Hourly",'Staffing &amp; Labor Plan'!$P$7:$P$16)</f>
        <v>39263</v>
      </c>
      <c r="T17" s="20">
        <f>SUMIF('Staffing &amp; Labor Plan'!$B$7:$B$16,"Hourly",'Staffing &amp; Labor Plan'!$G$7:$G$16)</f>
        <v>38693.69</v>
      </c>
      <c r="U17" s="20">
        <f>SUMIF('Staffing &amp; Labor Plan'!$B$7:$B$16,"Hourly",'Staffing &amp; Labor Plan'!$Q$7:$Q$16)</f>
        <v>38508</v>
      </c>
      <c r="V17" s="20">
        <f>SUMIF('Staffing &amp; Labor Plan'!$B$7:$B$16,"Hourly",'Staffing &amp; Labor Plan'!$G$7:$G$16)</f>
        <v>38693.69</v>
      </c>
      <c r="W17" s="20">
        <f>SUMIF('Staffing &amp; Labor Plan'!$B$7:$B$16,"Hourly",'Staffing &amp; Labor Plan'!$R$7:$R$16)</f>
        <v>38914</v>
      </c>
      <c r="X17" s="20">
        <f>SUMIF('Staffing &amp; Labor Plan'!$B$7:$B$16,"Hourly",'Staffing &amp; Labor Plan'!$G$7:$G$16)</f>
        <v>38693.69</v>
      </c>
      <c r="Y17" s="20">
        <f>SUMIF('Staffing &amp; Labor Plan'!$B$7:$B$16,"Hourly",'Staffing &amp; Labor Plan'!$S$7:$S$16)</f>
        <v>42027</v>
      </c>
      <c r="Z17" s="28">
        <f>SUM(B17,D17,F17,H17,J17,L17,N17,P17,R17,T17,V17,X17)</f>
        <v>464324.28</v>
      </c>
      <c r="AA17" s="28">
        <f>SUM(C17,E17,G17,I17,K17,M17,O17,Q17,S17,U17,W17,Y17)</f>
        <v>472114</v>
      </c>
      <c r="AB17" s="28">
        <f>AA17-Z17</f>
        <v>7789.72</v>
      </c>
    </row>
    <row r="18" ht="21" customHeight="1">
      <c r="A18" t="str" s="23">
        <v>Delivery / platform fees</v>
      </c>
      <c r="B18" s="24">
        <f>B11*'Assumptions &amp; Categories'!$B$9</f>
        <v>3240</v>
      </c>
      <c r="C18" s="27">
        <v>3217</v>
      </c>
      <c r="D18" s="24">
        <f>D11*'Assumptions &amp; Categories'!$B$9</f>
        <v>3150</v>
      </c>
      <c r="E18" s="27">
        <v>3030</v>
      </c>
      <c r="F18" s="24">
        <f>F11*'Assumptions &amp; Categories'!$B$9</f>
        <v>3330</v>
      </c>
      <c r="G18" s="27">
        <v>3402</v>
      </c>
      <c r="H18" s="24">
        <f>H11*'Assumptions &amp; Categories'!$B$9</f>
        <v>3420</v>
      </c>
      <c r="I18" s="27">
        <v>3372</v>
      </c>
      <c r="J18" s="24">
        <f>J11*'Assumptions &amp; Categories'!$B$9</f>
        <v>3510</v>
      </c>
      <c r="K18" s="27">
        <v>3651</v>
      </c>
      <c r="L18" s="24">
        <f>L11*'Assumptions &amp; Categories'!$B$9</f>
        <v>3600</v>
      </c>
      <c r="M18" s="27">
        <v>3653</v>
      </c>
      <c r="N18" s="24">
        <f>N11*'Assumptions &amp; Categories'!$B$9</f>
        <v>3690</v>
      </c>
      <c r="O18" s="27">
        <v>3868</v>
      </c>
      <c r="P18" s="24">
        <f>P11*'Assumptions &amp; Categories'!$B$9</f>
        <v>3690</v>
      </c>
      <c r="Q18" s="27">
        <v>3780</v>
      </c>
      <c r="R18" s="24">
        <f>R11*'Assumptions &amp; Categories'!$B$9</f>
        <v>3510</v>
      </c>
      <c r="S18" s="27">
        <v>3496</v>
      </c>
      <c r="T18" s="24">
        <f>T11*'Assumptions &amp; Categories'!$B$9</f>
        <v>3420</v>
      </c>
      <c r="U18" s="27">
        <v>3494</v>
      </c>
      <c r="V18" s="24">
        <f>V11*'Assumptions &amp; Categories'!$B$9</f>
        <v>3330</v>
      </c>
      <c r="W18" s="27">
        <v>3286</v>
      </c>
      <c r="X18" s="24">
        <f>X11*'Assumptions &amp; Categories'!$B$9</f>
        <v>3870</v>
      </c>
      <c r="Y18" s="27">
        <v>4064</v>
      </c>
      <c r="Z18" s="28">
        <f>SUM(B18,D18,F18,H18,J18,L18,N18,P18,R18,T18,V18,X18)</f>
        <v>41760</v>
      </c>
      <c r="AA18" s="28">
        <f>SUM(C18,E18,G18,I18,K18,M18,O18,Q18,S18,U18,W18,Y18)</f>
        <v>42313</v>
      </c>
      <c r="AB18" s="28">
        <f>AA18-Z18</f>
        <v>553</v>
      </c>
    </row>
    <row r="19" ht="21" customHeight="1">
      <c r="A19" t="str" s="29">
        <v>Total direct costs</v>
      </c>
      <c r="B19" s="20">
        <f>SUM(B16:B18)</f>
        <v>88123.69</v>
      </c>
      <c r="C19" s="20">
        <f>SUM(C16:C18)</f>
        <v>85536</v>
      </c>
      <c r="D19" s="20">
        <f>SUM(D16:D18)</f>
        <v>86018.69</v>
      </c>
      <c r="E19" s="20">
        <f>SUM(E16:E18)</f>
        <v>82665</v>
      </c>
      <c r="F19" s="20">
        <f>SUM(F16:F18)</f>
        <v>89918.69</v>
      </c>
      <c r="G19" s="20">
        <f>SUM(G16:G18)</f>
        <v>89073</v>
      </c>
      <c r="H19" s="20">
        <f>SUM(H16:H18)</f>
        <v>92023.69</v>
      </c>
      <c r="I19" s="20">
        <f>SUM(I16:I18)</f>
        <v>92425</v>
      </c>
      <c r="J19" s="20">
        <f>SUM(J16:J18)</f>
        <v>94128.69</v>
      </c>
      <c r="K19" s="20">
        <f>SUM(K16:K18)</f>
        <v>97541</v>
      </c>
      <c r="L19" s="20">
        <f>SUM(L16:L18)</f>
        <v>97473.69</v>
      </c>
      <c r="M19" s="20">
        <f>SUM(M16:M18)</f>
        <v>99712</v>
      </c>
      <c r="N19" s="20">
        <f>SUM(N16:N18)</f>
        <v>100508.69</v>
      </c>
      <c r="O19" s="20">
        <f>SUM(O16:O18)</f>
        <v>104758</v>
      </c>
      <c r="P19" s="20">
        <f>SUM(P16:P18)</f>
        <v>99423.69</v>
      </c>
      <c r="Q19" s="20">
        <f>SUM(Q16:Q18)</f>
        <v>101732</v>
      </c>
      <c r="R19" s="20">
        <f>SUM(R16:R18)</f>
        <v>95058.69</v>
      </c>
      <c r="S19" s="20">
        <f>SUM(S16:S18)</f>
        <v>95530</v>
      </c>
      <c r="T19" s="20">
        <f>SUM(T16:T18)</f>
        <v>92953.69</v>
      </c>
      <c r="U19" s="20">
        <f>SUM(U16:U18)</f>
        <v>94448</v>
      </c>
      <c r="V19" s="20">
        <f>SUM(V16:V18)</f>
        <v>92243.69</v>
      </c>
      <c r="W19" s="20">
        <f>SUM(W16:W18)</f>
        <v>92436</v>
      </c>
      <c r="X19" s="20">
        <f>SUM(X16:X18)</f>
        <v>105028.69</v>
      </c>
      <c r="Y19" s="20">
        <f>SUM(Y16:Y18)</f>
        <v>111178</v>
      </c>
      <c r="Z19" s="28">
        <f>SUM(B19,D19,F19,H19,J19,L19,N19,P19,R19,T19,V19,X19)</f>
        <v>1132904.28</v>
      </c>
      <c r="AA19" s="28">
        <f>SUM(C19,E19,G19,I19,K19,M19,O19,Q19,S19,U19,W19,Y19)</f>
        <v>1147034</v>
      </c>
      <c r="AB19" s="28">
        <f>AA19-Z19</f>
        <v>14129.72</v>
      </c>
    </row>
    <row r="20" ht="21" customHeight="1">
      <c r="A20" t="str" s="29">
        <v>Gross profit</v>
      </c>
      <c r="B20" s="24">
        <f>B13-B19</f>
        <v>60876.31</v>
      </c>
      <c r="C20" s="24">
        <f>C13-C19</f>
        <v>57792</v>
      </c>
      <c r="D20" s="24">
        <f>D13-D19</f>
        <v>56481.31</v>
      </c>
      <c r="E20" s="24">
        <f>E13-E19</f>
        <v>51549</v>
      </c>
      <c r="F20" s="24">
        <f>F13-F19</f>
        <v>64581.31</v>
      </c>
      <c r="G20" s="24">
        <f>G13-G19</f>
        <v>67275</v>
      </c>
      <c r="H20" s="24">
        <f>H13-H19</f>
        <v>68976.31</v>
      </c>
      <c r="I20" s="24">
        <f>I13-I19</f>
        <v>65673</v>
      </c>
      <c r="J20" s="24">
        <f>J13-J19</f>
        <v>73371.31</v>
      </c>
      <c r="K20" s="24">
        <f>K13-K19</f>
        <v>76992</v>
      </c>
      <c r="L20" s="24">
        <f>L13-L19</f>
        <v>80526.31</v>
      </c>
      <c r="M20" s="24">
        <f>M13-M19</f>
        <v>82214</v>
      </c>
      <c r="N20" s="24">
        <f>N13-N19</f>
        <v>86991.31</v>
      </c>
      <c r="O20" s="24">
        <f>O13-O19</f>
        <v>94382</v>
      </c>
      <c r="P20" s="24">
        <f>P13-P19</f>
        <v>84576.31</v>
      </c>
      <c r="Q20" s="24">
        <f>Q13-Q19</f>
        <v>88167</v>
      </c>
      <c r="R20" s="24">
        <f>R13-R19</f>
        <v>75441.31</v>
      </c>
      <c r="S20" s="24">
        <f>S13-S19</f>
        <v>73607</v>
      </c>
      <c r="T20" s="24">
        <f>T13-T19</f>
        <v>71046.31</v>
      </c>
      <c r="U20" s="24">
        <f>U13-U19</f>
        <v>71519</v>
      </c>
      <c r="V20" s="24">
        <f>V13-V19</f>
        <v>69756.31</v>
      </c>
      <c r="W20" s="24">
        <f>W13-W19</f>
        <v>65045</v>
      </c>
      <c r="X20" s="24">
        <f>X13-X19</f>
        <v>96471.31</v>
      </c>
      <c r="Y20" s="24">
        <f>Y13-Y19</f>
        <v>100832</v>
      </c>
      <c r="Z20" s="28">
        <f>SUM(B20,D20,F20,H20,J20,L20,N20,P20,R20,T20,V20,X20)</f>
        <v>889095.72</v>
      </c>
      <c r="AA20" s="28">
        <f>SUM(C20,E20,G20,I20,K20,M20,O20,Q20,S20,U20,W20,Y20)</f>
        <v>895047</v>
      </c>
      <c r="AB20" s="28">
        <f>AA20-Z20</f>
        <v>5951.28</v>
      </c>
    </row>
    <row r="21" ht="21" customHeight="1">
      <c r="A21" t="str" s="29">
        <v>Gross margin</v>
      </c>
      <c r="B21" s="21">
        <f>IFERROR(B20/B13,0)</f>
        <v>0.4085658389261745</v>
      </c>
      <c r="C21" s="21">
        <f>IFERROR(C20/C13,0)</f>
        <v>0.4032150033489618</v>
      </c>
      <c r="D21" s="21">
        <f>IFERROR(D20/D13,0)</f>
        <v>0.3963600701754386</v>
      </c>
      <c r="E21" s="21">
        <f>IFERROR(E20/E13,0)</f>
        <v>0.3840806473244222</v>
      </c>
      <c r="F21" s="21">
        <f>IFERROR(F20/F13,0)</f>
        <v>0.4180020064724919</v>
      </c>
      <c r="G21" s="21">
        <f>IFERROR(G20/G13,0)</f>
        <v>0.43029012203545935</v>
      </c>
      <c r="H21" s="21">
        <f>IFERROR(H20/H13,0)</f>
        <v>0.4284242857142857</v>
      </c>
      <c r="I21" s="21">
        <f>IFERROR(I20/I13,0)</f>
        <v>0.4153942491366115</v>
      </c>
      <c r="J21" s="21">
        <f>IFERROR(J20/J13,0)</f>
        <v>0.438037671641791</v>
      </c>
      <c r="K21" s="21">
        <f>IFERROR(K20/K13,0)</f>
        <v>0.441131476568901</v>
      </c>
      <c r="L21" s="21">
        <f>IFERROR(L20/L13,0)</f>
        <v>0.452395</v>
      </c>
      <c r="M21" s="21">
        <f>IFERROR(M20/M13,0)</f>
        <v>0.4519090179523543</v>
      </c>
      <c r="N21" s="21">
        <f>IFERROR(N20/N13,0)</f>
        <v>0.4639536533333333</v>
      </c>
      <c r="O21" s="21">
        <f>IFERROR(O20/O13,0)</f>
        <v>0.4739479762980818</v>
      </c>
      <c r="P21" s="21">
        <f>IFERROR(P20/P13,0)</f>
        <v>0.4596538586956522</v>
      </c>
      <c r="Q21" s="21">
        <f>IFERROR(Q20/Q13,0)</f>
        <v>0.4642836455168274</v>
      </c>
      <c r="R21" s="21">
        <f>IFERROR(R20/R13,0)</f>
        <v>0.4424710263929619</v>
      </c>
      <c r="S21" s="21">
        <f>IFERROR(S20/S13,0)</f>
        <v>0.4351915902493245</v>
      </c>
      <c r="T21" s="21">
        <f>IFERROR(T20/T13,0)</f>
        <v>0.4332092073170732</v>
      </c>
      <c r="U21" s="21">
        <f>IFERROR(U20/U13,0)</f>
        <v>0.4309230148161984</v>
      </c>
      <c r="V21" s="21">
        <f>IFERROR(V20/V13,0)</f>
        <v>0.4305945061728395</v>
      </c>
      <c r="W21" s="21">
        <f>IFERROR(W20/W13,0)</f>
        <v>0.41303395330230314</v>
      </c>
      <c r="X21" s="21">
        <f>IFERROR(X20/X13,0)</f>
        <v>0.47876580645161293</v>
      </c>
      <c r="Y21" s="21">
        <f>IFERROR(Y20/Y13,0)</f>
        <v>0.4756002075373803</v>
      </c>
      <c r="Z21" s="30">
        <f>IFERROR(SUM(B20,D20,F20,H20,J20,L20,N20,P20,R20,T20,V20,X20)/SUM(B13,D13,F13,H13,J13,L13,N13,P13,R13,T13,V13,X13),0)</f>
        <v>0.4397110385756677</v>
      </c>
      <c r="AA21" s="30">
        <f>IFERROR(SUM(C20,E20,G20,I20,K20,M20,O20,Q20,S20,U20,W20,Y20)/SUM(C13,E13,G13,I13,K13,M13,O13,Q13,S13,U13,W13,Y13),0)</f>
        <v>0.4383014189936638</v>
      </c>
      <c r="AB21" s="30">
        <f>AA21-Z21</f>
        <v>-0.0014096195820039</v>
      </c>
    </row>
    <row r="22" ht="21" customHeight="1"/>
    <row r="23" ht="21" customHeight="1">
      <c r="A23" t="str" s="9">
        <v>OPERATING EXPENSES</v>
      </c>
    </row>
    <row r="24" ht="21" customHeight="1">
      <c r="A24" t="str" s="23">
        <v>Salaried labor</v>
      </c>
      <c r="B24" s="24">
        <f>SUMIF('Staffing &amp; Labor Plan'!$B$7:$B$16,"Salaried",'Staffing &amp; Labor Plan'!$G$7:$G$16)</f>
        <v>11200</v>
      </c>
      <c r="C24" s="24">
        <f>SUMIF('Staffing &amp; Labor Plan'!$B$7:$B$16,"Salaried",'Staffing &amp; Labor Plan'!$H$7:$H$16)</f>
        <v>10728</v>
      </c>
      <c r="D24" s="24">
        <f>SUMIF('Staffing &amp; Labor Plan'!$B$7:$B$16,"Salaried",'Staffing &amp; Labor Plan'!$G$7:$G$16)</f>
        <v>11200</v>
      </c>
      <c r="E24" s="24">
        <f>SUMIF('Staffing &amp; Labor Plan'!$B$7:$B$16,"Salaried",'Staffing &amp; Labor Plan'!$I$7:$I$16)</f>
        <v>10510</v>
      </c>
      <c r="F24" s="24">
        <f>SUMIF('Staffing &amp; Labor Plan'!$B$7:$B$16,"Salaried",'Staffing &amp; Labor Plan'!$G$7:$G$16)</f>
        <v>11200</v>
      </c>
      <c r="G24" s="24">
        <f>SUMIF('Staffing &amp; Labor Plan'!$B$7:$B$16,"Salaried",'Staffing &amp; Labor Plan'!$J$7:$J$16)</f>
        <v>10963</v>
      </c>
      <c r="H24" s="24">
        <f>SUMIF('Staffing &amp; Labor Plan'!$B$7:$B$16,"Salaried",'Staffing &amp; Labor Plan'!$G$7:$G$16)</f>
        <v>11200</v>
      </c>
      <c r="I24" s="24">
        <f>SUMIF('Staffing &amp; Labor Plan'!$B$7:$B$16,"Salaried",'Staffing &amp; Labor Plan'!$K$7:$K$16)</f>
        <v>11193</v>
      </c>
      <c r="J24" s="24">
        <f>SUMIF('Staffing &amp; Labor Plan'!$B$7:$B$16,"Salaried",'Staffing &amp; Labor Plan'!$G$7:$G$16)</f>
        <v>11200</v>
      </c>
      <c r="K24" s="24">
        <f>SUMIF('Staffing &amp; Labor Plan'!$B$7:$B$16,"Salaried",'Staffing &amp; Labor Plan'!$L$7:$L$16)</f>
        <v>11534</v>
      </c>
      <c r="L24" s="24">
        <f>SUMIF('Staffing &amp; Labor Plan'!$B$7:$B$16,"Salaried",'Staffing &amp; Labor Plan'!$G$7:$G$16)</f>
        <v>11200</v>
      </c>
      <c r="M24" s="24">
        <f>SUMIF('Staffing &amp; Labor Plan'!$B$7:$B$16,"Salaried",'Staffing &amp; Labor Plan'!$M$7:$M$16)</f>
        <v>11764</v>
      </c>
      <c r="N24" s="24">
        <f>SUMIF('Staffing &amp; Labor Plan'!$B$7:$B$16,"Salaried",'Staffing &amp; Labor Plan'!$G$7:$G$16)</f>
        <v>11200</v>
      </c>
      <c r="O24" s="24">
        <f>SUMIF('Staffing &amp; Labor Plan'!$B$7:$B$16,"Salaried",'Staffing &amp; Labor Plan'!$N$7:$N$16)</f>
        <v>11994</v>
      </c>
      <c r="P24" s="24">
        <f>SUMIF('Staffing &amp; Labor Plan'!$B$7:$B$16,"Salaried",'Staffing &amp; Labor Plan'!$G$7:$G$16)</f>
        <v>11200</v>
      </c>
      <c r="Q24" s="24">
        <f>SUMIF('Staffing &amp; Labor Plan'!$B$7:$B$16,"Salaried",'Staffing &amp; Labor Plan'!$O$7:$O$16)</f>
        <v>11775</v>
      </c>
      <c r="R24" s="24">
        <f>SUMIF('Staffing &amp; Labor Plan'!$B$7:$B$16,"Salaried",'Staffing &amp; Labor Plan'!$G$7:$G$16)</f>
        <v>11200</v>
      </c>
      <c r="S24" s="24">
        <f>SUMIF('Staffing &amp; Labor Plan'!$B$7:$B$16,"Salaried",'Staffing &amp; Labor Plan'!$P$7:$P$16)</f>
        <v>11333</v>
      </c>
      <c r="T24" s="24">
        <f>SUMIF('Staffing &amp; Labor Plan'!$B$7:$B$16,"Salaried",'Staffing &amp; Labor Plan'!$G$7:$G$16)</f>
        <v>11200</v>
      </c>
      <c r="U24" s="24">
        <f>SUMIF('Staffing &amp; Labor Plan'!$B$7:$B$16,"Salaried",'Staffing &amp; Labor Plan'!$Q$7:$Q$16)</f>
        <v>11114</v>
      </c>
      <c r="V24" s="24">
        <f>SUMIF('Staffing &amp; Labor Plan'!$B$7:$B$16,"Salaried",'Staffing &amp; Labor Plan'!$G$7:$G$16)</f>
        <v>11200</v>
      </c>
      <c r="W24" s="24">
        <f>SUMIF('Staffing &amp; Labor Plan'!$B$7:$B$16,"Salaried",'Staffing &amp; Labor Plan'!$R$7:$R$16)</f>
        <v>11232</v>
      </c>
      <c r="X24" s="24">
        <f>SUMIF('Staffing &amp; Labor Plan'!$B$7:$B$16,"Salaried",'Staffing &amp; Labor Plan'!$G$7:$G$16)</f>
        <v>11200</v>
      </c>
      <c r="Y24" s="24">
        <f>SUMIF('Staffing &amp; Labor Plan'!$B$7:$B$16,"Salaried",'Staffing &amp; Labor Plan'!$S$7:$S$16)</f>
        <v>12134</v>
      </c>
      <c r="Z24" s="28">
        <f>SUM(B24,D24,F24,H24,J24,L24,N24,P24,R24,T24,V24,X24)</f>
        <v>134400</v>
      </c>
      <c r="AA24" s="28">
        <f>SUM(C24,E24,G24,I24,K24,M24,O24,Q24,S24,U24,W24,Y24)</f>
        <v>136274</v>
      </c>
      <c r="AB24" s="28">
        <f>AA24-Z24</f>
        <v>1874</v>
      </c>
    </row>
    <row r="25" ht="21" customHeight="1">
      <c r="A25" t="str" s="19">
        <v>Rent / CAM</v>
      </c>
      <c r="B25" s="27">
        <v>12000</v>
      </c>
      <c r="C25" s="27">
        <v>11460</v>
      </c>
      <c r="D25" s="27">
        <v>12000</v>
      </c>
      <c r="E25" s="27">
        <v>11640</v>
      </c>
      <c r="F25" s="27">
        <v>12000</v>
      </c>
      <c r="G25" s="27">
        <v>11820</v>
      </c>
      <c r="H25" s="27">
        <v>12000</v>
      </c>
      <c r="I25" s="27">
        <v>12000</v>
      </c>
      <c r="J25" s="27">
        <v>12000</v>
      </c>
      <c r="K25" s="27">
        <v>12180</v>
      </c>
      <c r="L25" s="27">
        <v>12000</v>
      </c>
      <c r="M25" s="27">
        <v>12360</v>
      </c>
      <c r="N25" s="27">
        <v>12000</v>
      </c>
      <c r="O25" s="27">
        <v>12540</v>
      </c>
      <c r="P25" s="27">
        <v>12000</v>
      </c>
      <c r="Q25" s="27">
        <v>11460</v>
      </c>
      <c r="R25" s="27">
        <v>12000</v>
      </c>
      <c r="S25" s="27">
        <v>11640</v>
      </c>
      <c r="T25" s="27">
        <v>12000</v>
      </c>
      <c r="U25" s="27">
        <v>11820</v>
      </c>
      <c r="V25" s="27">
        <v>12000</v>
      </c>
      <c r="W25" s="27">
        <v>12000</v>
      </c>
      <c r="X25" s="27">
        <v>12000</v>
      </c>
      <c r="Y25" s="27">
        <v>12180</v>
      </c>
      <c r="Z25" s="28">
        <f>SUM(B25,D25,F25,H25,J25,L25,N25,P25,R25,T25,V25,X25)</f>
        <v>144000</v>
      </c>
      <c r="AA25" s="28">
        <f>SUM(C25,E25,G25,I25,K25,M25,O25,Q25,S25,U25,W25,Y25)</f>
        <v>143100</v>
      </c>
      <c r="AB25" s="28">
        <f>AA25-Z25</f>
        <v>-900</v>
      </c>
    </row>
    <row r="26" ht="21" customHeight="1">
      <c r="A26" t="str" s="23">
        <v>Utilities</v>
      </c>
      <c r="B26" s="27">
        <v>4200</v>
      </c>
      <c r="C26" s="27">
        <v>4137</v>
      </c>
      <c r="D26" s="27">
        <v>4100</v>
      </c>
      <c r="E26" s="27">
        <v>4100</v>
      </c>
      <c r="F26" s="27">
        <v>4000</v>
      </c>
      <c r="G26" s="27">
        <v>4060</v>
      </c>
      <c r="H26" s="27">
        <v>4100</v>
      </c>
      <c r="I26" s="27">
        <v>4223</v>
      </c>
      <c r="J26" s="27">
        <v>4300</v>
      </c>
      <c r="K26" s="27">
        <v>4494</v>
      </c>
      <c r="L26" s="27">
        <v>4700</v>
      </c>
      <c r="M26" s="27">
        <v>4489</v>
      </c>
      <c r="N26" s="27">
        <v>5100</v>
      </c>
      <c r="O26" s="27">
        <v>4947</v>
      </c>
      <c r="P26" s="27">
        <v>5200</v>
      </c>
      <c r="Q26" s="27">
        <v>5122</v>
      </c>
      <c r="R26" s="27">
        <v>4800</v>
      </c>
      <c r="S26" s="27">
        <v>4800</v>
      </c>
      <c r="T26" s="27">
        <v>4400</v>
      </c>
      <c r="U26" s="27">
        <v>4466</v>
      </c>
      <c r="V26" s="27">
        <v>4200</v>
      </c>
      <c r="W26" s="27">
        <v>4326</v>
      </c>
      <c r="X26" s="27">
        <v>4600</v>
      </c>
      <c r="Y26" s="27">
        <v>4807</v>
      </c>
      <c r="Z26" s="28">
        <f>SUM(B26,D26,F26,H26,J26,L26,N26,P26,R26,T26,V26,X26)</f>
        <v>53700</v>
      </c>
      <c r="AA26" s="28">
        <f>SUM(C26,E26,G26,I26,K26,M26,O26,Q26,S26,U26,W26,Y26)</f>
        <v>53971</v>
      </c>
      <c r="AB26" s="28">
        <f>AA26-Z26</f>
        <v>271</v>
      </c>
    </row>
    <row r="27" ht="21" customHeight="1">
      <c r="A27" t="str" s="19">
        <v>Operating supplies</v>
      </c>
      <c r="B27" s="27">
        <v>2600</v>
      </c>
      <c r="C27" s="27">
        <v>2639</v>
      </c>
      <c r="D27" s="27">
        <v>2600</v>
      </c>
      <c r="E27" s="27">
        <v>2678</v>
      </c>
      <c r="F27" s="27">
        <v>2600</v>
      </c>
      <c r="G27" s="27">
        <v>2717</v>
      </c>
      <c r="H27" s="27">
        <v>2600</v>
      </c>
      <c r="I27" s="27">
        <v>2483</v>
      </c>
      <c r="J27" s="27">
        <v>2600</v>
      </c>
      <c r="K27" s="27">
        <v>2522</v>
      </c>
      <c r="L27" s="27">
        <v>2600</v>
      </c>
      <c r="M27" s="27">
        <v>2561</v>
      </c>
      <c r="N27" s="27">
        <v>2600</v>
      </c>
      <c r="O27" s="27">
        <v>2600</v>
      </c>
      <c r="P27" s="27">
        <v>2600</v>
      </c>
      <c r="Q27" s="27">
        <v>2639</v>
      </c>
      <c r="R27" s="27">
        <v>2600</v>
      </c>
      <c r="S27" s="27">
        <v>2678</v>
      </c>
      <c r="T27" s="27">
        <v>2600</v>
      </c>
      <c r="U27" s="27">
        <v>2717</v>
      </c>
      <c r="V27" s="27">
        <v>2600</v>
      </c>
      <c r="W27" s="27">
        <v>2483</v>
      </c>
      <c r="X27" s="27">
        <v>2600</v>
      </c>
      <c r="Y27" s="27">
        <v>2522</v>
      </c>
      <c r="Z27" s="28">
        <f>SUM(B27,D27,F27,H27,J27,L27,N27,P27,R27,T27,V27,X27)</f>
        <v>31200</v>
      </c>
      <c r="AA27" s="28">
        <f>SUM(C27,E27,G27,I27,K27,M27,O27,Q27,S27,U27,W27,Y27)</f>
        <v>31239</v>
      </c>
      <c r="AB27" s="28">
        <f>AA27-Z27</f>
        <v>39</v>
      </c>
    </row>
    <row r="28" ht="21" customHeight="1">
      <c r="A28" t="str" s="23">
        <v>Repairs &amp; maintenance</v>
      </c>
      <c r="B28" s="27">
        <v>1800</v>
      </c>
      <c r="C28" s="27">
        <v>1881</v>
      </c>
      <c r="D28" s="27">
        <v>1800</v>
      </c>
      <c r="E28" s="27">
        <v>1719</v>
      </c>
      <c r="F28" s="27">
        <v>2200</v>
      </c>
      <c r="G28" s="27">
        <v>2134</v>
      </c>
      <c r="H28" s="27">
        <v>1800</v>
      </c>
      <c r="I28" s="27">
        <v>1773</v>
      </c>
      <c r="J28" s="27">
        <v>1800</v>
      </c>
      <c r="K28" s="27">
        <v>1800</v>
      </c>
      <c r="L28" s="27">
        <v>2400</v>
      </c>
      <c r="M28" s="27">
        <v>2436</v>
      </c>
      <c r="N28" s="27">
        <v>1800</v>
      </c>
      <c r="O28" s="27">
        <v>1854</v>
      </c>
      <c r="P28" s="27">
        <v>2800</v>
      </c>
      <c r="Q28" s="27">
        <v>2926</v>
      </c>
      <c r="R28" s="27">
        <v>1800</v>
      </c>
      <c r="S28" s="27">
        <v>1719</v>
      </c>
      <c r="T28" s="27">
        <v>1800</v>
      </c>
      <c r="U28" s="27">
        <v>1746</v>
      </c>
      <c r="V28" s="27">
        <v>2200</v>
      </c>
      <c r="W28" s="27">
        <v>2167</v>
      </c>
      <c r="X28" s="27">
        <v>1800</v>
      </c>
      <c r="Y28" s="27">
        <v>1800</v>
      </c>
      <c r="Z28" s="28">
        <f>SUM(B28,D28,F28,H28,J28,L28,N28,P28,R28,T28,V28,X28)</f>
        <v>24000</v>
      </c>
      <c r="AA28" s="28">
        <f>SUM(C28,E28,G28,I28,K28,M28,O28,Q28,S28,U28,W28,Y28)</f>
        <v>23955</v>
      </c>
      <c r="AB28" s="28">
        <f>AA28-Z28</f>
        <v>-45</v>
      </c>
    </row>
    <row r="29" ht="21" customHeight="1">
      <c r="A29" t="str" s="19">
        <v>Marketing</v>
      </c>
      <c r="B29" s="27">
        <v>2600</v>
      </c>
      <c r="C29" s="27">
        <v>2522</v>
      </c>
      <c r="D29" s="27">
        <v>2500</v>
      </c>
      <c r="E29" s="27">
        <v>2463</v>
      </c>
      <c r="F29" s="27">
        <v>2700</v>
      </c>
      <c r="G29" s="27">
        <v>2700</v>
      </c>
      <c r="H29" s="27">
        <v>2800</v>
      </c>
      <c r="I29" s="27">
        <v>2842</v>
      </c>
      <c r="J29" s="27">
        <v>3000</v>
      </c>
      <c r="K29" s="27">
        <v>3090</v>
      </c>
      <c r="L29" s="27">
        <v>3200</v>
      </c>
      <c r="M29" s="27">
        <v>3344</v>
      </c>
      <c r="N29" s="27">
        <v>3300</v>
      </c>
      <c r="O29" s="27">
        <v>3152</v>
      </c>
      <c r="P29" s="27">
        <v>3200</v>
      </c>
      <c r="Q29" s="27">
        <v>3104</v>
      </c>
      <c r="R29" s="27">
        <v>3000</v>
      </c>
      <c r="S29" s="27">
        <v>2955</v>
      </c>
      <c r="T29" s="27">
        <v>2900</v>
      </c>
      <c r="U29" s="27">
        <v>2900</v>
      </c>
      <c r="V29" s="27">
        <v>3000</v>
      </c>
      <c r="W29" s="27">
        <v>3045</v>
      </c>
      <c r="X29" s="27">
        <v>3600</v>
      </c>
      <c r="Y29" s="27">
        <v>3708</v>
      </c>
      <c r="Z29" s="28">
        <f>SUM(B29,D29,F29,H29,J29,L29,N29,P29,R29,T29,V29,X29)</f>
        <v>35800</v>
      </c>
      <c r="AA29" s="28">
        <f>SUM(C29,E29,G29,I29,K29,M29,O29,Q29,S29,U29,W29,Y29)</f>
        <v>35825</v>
      </c>
      <c r="AB29" s="28">
        <f>AA29-Z29</f>
        <v>25</v>
      </c>
    </row>
    <row r="30" ht="21" customHeight="1">
      <c r="A30" t="str" s="23">
        <v>Insurance &amp; licenses</v>
      </c>
      <c r="B30" s="27">
        <v>1700</v>
      </c>
      <c r="C30" s="27">
        <v>1700</v>
      </c>
      <c r="D30" s="27">
        <v>1700</v>
      </c>
      <c r="E30" s="27">
        <v>1725</v>
      </c>
      <c r="F30" s="27">
        <v>1700</v>
      </c>
      <c r="G30" s="27">
        <v>1751</v>
      </c>
      <c r="H30" s="27">
        <v>1700</v>
      </c>
      <c r="I30" s="27">
        <v>1776</v>
      </c>
      <c r="J30" s="27">
        <v>1700</v>
      </c>
      <c r="K30" s="27">
        <v>1624</v>
      </c>
      <c r="L30" s="27">
        <v>1700</v>
      </c>
      <c r="M30" s="27">
        <v>1649</v>
      </c>
      <c r="N30" s="27">
        <v>1700</v>
      </c>
      <c r="O30" s="27">
        <v>1675</v>
      </c>
      <c r="P30" s="27">
        <v>1700</v>
      </c>
      <c r="Q30" s="27">
        <v>1700</v>
      </c>
      <c r="R30" s="27">
        <v>1700</v>
      </c>
      <c r="S30" s="27">
        <v>1725</v>
      </c>
      <c r="T30" s="27">
        <v>1700</v>
      </c>
      <c r="U30" s="27">
        <v>1751</v>
      </c>
      <c r="V30" s="27">
        <v>1700</v>
      </c>
      <c r="W30" s="27">
        <v>1776</v>
      </c>
      <c r="X30" s="27">
        <v>1700</v>
      </c>
      <c r="Y30" s="27">
        <v>1624</v>
      </c>
      <c r="Z30" s="28">
        <f>SUM(B30,D30,F30,H30,J30,L30,N30,P30,R30,T30,V30,X30)</f>
        <v>20400</v>
      </c>
      <c r="AA30" s="28">
        <f>SUM(C30,E30,G30,I30,K30,M30,O30,Q30,S30,U30,W30,Y30)</f>
        <v>20476</v>
      </c>
      <c r="AB30" s="28">
        <f>AA30-Z30</f>
        <v>76</v>
      </c>
    </row>
    <row r="31" ht="21" customHeight="1">
      <c r="A31" t="str" s="19">
        <v>Software / POS</v>
      </c>
      <c r="B31" s="27">
        <v>1100</v>
      </c>
      <c r="C31" s="27">
        <v>1133</v>
      </c>
      <c r="D31" s="27">
        <v>1100</v>
      </c>
      <c r="E31" s="27">
        <v>1150</v>
      </c>
      <c r="F31" s="27">
        <v>1100</v>
      </c>
      <c r="G31" s="27">
        <v>1051</v>
      </c>
      <c r="H31" s="27">
        <v>1100</v>
      </c>
      <c r="I31" s="27">
        <v>1067</v>
      </c>
      <c r="J31" s="27">
        <v>1100</v>
      </c>
      <c r="K31" s="27">
        <v>1084</v>
      </c>
      <c r="L31" s="27">
        <v>1100</v>
      </c>
      <c r="M31" s="27">
        <v>1100</v>
      </c>
      <c r="N31" s="27">
        <v>1100</v>
      </c>
      <c r="O31" s="27">
        <v>1117</v>
      </c>
      <c r="P31" s="27">
        <v>1100</v>
      </c>
      <c r="Q31" s="27">
        <v>1133</v>
      </c>
      <c r="R31" s="27">
        <v>1100</v>
      </c>
      <c r="S31" s="27">
        <v>1150</v>
      </c>
      <c r="T31" s="27">
        <v>1100</v>
      </c>
      <c r="U31" s="27">
        <v>1051</v>
      </c>
      <c r="V31" s="27">
        <v>1100</v>
      </c>
      <c r="W31" s="27">
        <v>1067</v>
      </c>
      <c r="X31" s="27">
        <v>1100</v>
      </c>
      <c r="Y31" s="27">
        <v>1084</v>
      </c>
      <c r="Z31" s="28">
        <f>SUM(B31,D31,F31,H31,J31,L31,N31,P31,R31,T31,V31,X31)</f>
        <v>13200</v>
      </c>
      <c r="AA31" s="28">
        <f>SUM(C31,E31,G31,I31,K31,M31,O31,Q31,S31,U31,W31,Y31)</f>
        <v>13187</v>
      </c>
      <c r="AB31" s="28">
        <f>AA31-Z31</f>
        <v>-13</v>
      </c>
    </row>
    <row r="32" ht="21" customHeight="1">
      <c r="A32" t="str" s="23">
        <v>Other overhead</v>
      </c>
      <c r="B32" s="27">
        <v>1500</v>
      </c>
      <c r="C32" s="27">
        <v>1433</v>
      </c>
      <c r="D32" s="27">
        <v>1500</v>
      </c>
      <c r="E32" s="27">
        <v>1455</v>
      </c>
      <c r="F32" s="27">
        <v>1500</v>
      </c>
      <c r="G32" s="27">
        <v>1478</v>
      </c>
      <c r="H32" s="27">
        <v>1500</v>
      </c>
      <c r="I32" s="27">
        <v>1500</v>
      </c>
      <c r="J32" s="27">
        <v>1500</v>
      </c>
      <c r="K32" s="27">
        <v>1522</v>
      </c>
      <c r="L32" s="27">
        <v>1500</v>
      </c>
      <c r="M32" s="27">
        <v>1545</v>
      </c>
      <c r="N32" s="27">
        <v>1500</v>
      </c>
      <c r="O32" s="27">
        <v>1568</v>
      </c>
      <c r="P32" s="27">
        <v>1500</v>
      </c>
      <c r="Q32" s="27">
        <v>1433</v>
      </c>
      <c r="R32" s="27">
        <v>1500</v>
      </c>
      <c r="S32" s="27">
        <v>1455</v>
      </c>
      <c r="T32" s="27">
        <v>1500</v>
      </c>
      <c r="U32" s="27">
        <v>1478</v>
      </c>
      <c r="V32" s="27">
        <v>1500</v>
      </c>
      <c r="W32" s="27">
        <v>1500</v>
      </c>
      <c r="X32" s="27">
        <v>1500</v>
      </c>
      <c r="Y32" s="27">
        <v>1522</v>
      </c>
      <c r="Z32" s="28">
        <f>SUM(B32,D32,F32,H32,J32,L32,N32,P32,R32,T32,V32,X32)</f>
        <v>18000</v>
      </c>
      <c r="AA32" s="28">
        <f>SUM(C32,E32,G32,I32,K32,M32,O32,Q32,S32,U32,W32,Y32)</f>
        <v>17889</v>
      </c>
      <c r="AB32" s="28">
        <f>AA32-Z32</f>
        <v>-111</v>
      </c>
    </row>
    <row r="33" ht="21" customHeight="1">
      <c r="A33" t="str" s="29">
        <v>Total operating expenses</v>
      </c>
      <c r="B33" s="20">
        <f>SUM(B24:B32)</f>
        <v>38700</v>
      </c>
      <c r="C33" s="20">
        <f>SUM(C24:C32)</f>
        <v>37633</v>
      </c>
      <c r="D33" s="20">
        <f>SUM(D24:D32)</f>
        <v>38500</v>
      </c>
      <c r="E33" s="20">
        <f>SUM(E24:E32)</f>
        <v>37440</v>
      </c>
      <c r="F33" s="20">
        <f>SUM(F24:F32)</f>
        <v>39000</v>
      </c>
      <c r="G33" s="20">
        <f>SUM(G24:G32)</f>
        <v>38674</v>
      </c>
      <c r="H33" s="20">
        <f>SUM(H24:H32)</f>
        <v>38800</v>
      </c>
      <c r="I33" s="20">
        <f>SUM(I24:I32)</f>
        <v>38857</v>
      </c>
      <c r="J33" s="20">
        <f>SUM(J24:J32)</f>
        <v>39200</v>
      </c>
      <c r="K33" s="20">
        <f>SUM(K24:K32)</f>
        <v>39850</v>
      </c>
      <c r="L33" s="20">
        <f>SUM(L24:L32)</f>
        <v>40400</v>
      </c>
      <c r="M33" s="20">
        <f>SUM(M24:M32)</f>
        <v>41248</v>
      </c>
      <c r="N33" s="20">
        <f>SUM(N24:N32)</f>
        <v>40300</v>
      </c>
      <c r="O33" s="20">
        <f>SUM(O24:O32)</f>
        <v>41447</v>
      </c>
      <c r="P33" s="20">
        <f>SUM(P24:P32)</f>
        <v>41300</v>
      </c>
      <c r="Q33" s="20">
        <f>SUM(Q24:Q32)</f>
        <v>41292</v>
      </c>
      <c r="R33" s="20">
        <f>SUM(R24:R32)</f>
        <v>39700</v>
      </c>
      <c r="S33" s="20">
        <f>SUM(S24:S32)</f>
        <v>39455</v>
      </c>
      <c r="T33" s="20">
        <f>SUM(T24:T32)</f>
        <v>39200</v>
      </c>
      <c r="U33" s="20">
        <f>SUM(U24:U32)</f>
        <v>39043</v>
      </c>
      <c r="V33" s="20">
        <f>SUM(V24:V32)</f>
        <v>39500</v>
      </c>
      <c r="W33" s="20">
        <f>SUM(W24:W32)</f>
        <v>39596</v>
      </c>
      <c r="X33" s="20">
        <f>SUM(X24:X32)</f>
        <v>40100</v>
      </c>
      <c r="Y33" s="20">
        <f>SUM(Y24:Y32)</f>
        <v>41381</v>
      </c>
      <c r="Z33" s="28">
        <f>SUM(B33,D33,F33,H33,J33,L33,N33,P33,R33,T33,V33,X33)</f>
        <v>474700</v>
      </c>
      <c r="AA33" s="28">
        <f>SUM(C33,E33,G33,I33,K33,M33,O33,Q33,S33,U33,W33,Y33)</f>
        <v>475916</v>
      </c>
      <c r="AB33" s="28">
        <f>AA33-Z33</f>
        <v>1216</v>
      </c>
    </row>
    <row r="34" ht="21" customHeight="1">
      <c r="A34" t="str" s="29">
        <v>Operating income</v>
      </c>
      <c r="B34" s="24">
        <f>B20-B33</f>
        <v>22176.31</v>
      </c>
      <c r="C34" s="24">
        <f>C20-C33</f>
        <v>20159</v>
      </c>
      <c r="D34" s="24">
        <f>D20-D33</f>
        <v>17981.31</v>
      </c>
      <c r="E34" s="24">
        <f>E20-E33</f>
        <v>14109</v>
      </c>
      <c r="F34" s="24">
        <f>F20-F33</f>
        <v>25581.31</v>
      </c>
      <c r="G34" s="24">
        <f>G20-G33</f>
        <v>28601</v>
      </c>
      <c r="H34" s="24">
        <f>H20-H33</f>
        <v>30176.31</v>
      </c>
      <c r="I34" s="24">
        <f>I20-I33</f>
        <v>26816</v>
      </c>
      <c r="J34" s="24">
        <f>J20-J33</f>
        <v>34171.31</v>
      </c>
      <c r="K34" s="24">
        <f>K20-K33</f>
        <v>37142</v>
      </c>
      <c r="L34" s="24">
        <f>L20-L33</f>
        <v>40126.31</v>
      </c>
      <c r="M34" s="24">
        <f>M20-M33</f>
        <v>40966</v>
      </c>
      <c r="N34" s="24">
        <f>N20-N33</f>
        <v>46691.31</v>
      </c>
      <c r="O34" s="24">
        <f>O20-O33</f>
        <v>52935</v>
      </c>
      <c r="P34" s="24">
        <f>P20-P33</f>
        <v>43276.31</v>
      </c>
      <c r="Q34" s="24">
        <f>Q20-Q33</f>
        <v>46875</v>
      </c>
      <c r="R34" s="24">
        <f>R20-R33</f>
        <v>35741.31</v>
      </c>
      <c r="S34" s="24">
        <f>S20-S33</f>
        <v>34152</v>
      </c>
      <c r="T34" s="24">
        <f>T20-T33</f>
        <v>31846.31</v>
      </c>
      <c r="U34" s="24">
        <f>U20-U33</f>
        <v>32476</v>
      </c>
      <c r="V34" s="24">
        <f>V20-V33</f>
        <v>30256.31</v>
      </c>
      <c r="W34" s="24">
        <f>W20-W33</f>
        <v>25449</v>
      </c>
      <c r="X34" s="24">
        <f>X20-X33</f>
        <v>56371.31</v>
      </c>
      <c r="Y34" s="24">
        <f>Y20-Y33</f>
        <v>59451</v>
      </c>
      <c r="Z34" s="28">
        <f>SUM(B34,D34,F34,H34,J34,L34,N34,P34,R34,T34,V34,X34)</f>
        <v>414395.72</v>
      </c>
      <c r="AA34" s="28">
        <f>SUM(C34,E34,G34,I34,K34,M34,O34,Q34,S34,U34,W34,Y34)</f>
        <v>419131</v>
      </c>
      <c r="AB34" s="28">
        <f>AA34-Z34</f>
        <v>4735.28</v>
      </c>
    </row>
    <row r="35" ht="21" customHeight="1">
      <c r="A35" t="str" s="29">
        <v>Operating margin</v>
      </c>
      <c r="B35" s="21">
        <f>IFERROR(B34/B13,0)</f>
        <v>0.14883429530201342</v>
      </c>
      <c r="C35" s="21">
        <f>IFERROR(C34/C13,0)</f>
        <v>0.14064941951328422</v>
      </c>
      <c r="D35" s="21">
        <f>IFERROR(D34/D13,0)</f>
        <v>0.12618463157894738</v>
      </c>
      <c r="E35" s="21">
        <f>IFERROR(E34/E13,0)</f>
        <v>0.10512316151817247</v>
      </c>
      <c r="F35" s="21">
        <f>IFERROR(F34/F13,0)</f>
        <v>0.1655748220064725</v>
      </c>
      <c r="G35" s="21">
        <f>IFERROR(G34/G13,0)</f>
        <v>0.1829316652595492</v>
      </c>
      <c r="H35" s="21">
        <f>IFERROR(H34/H13,0)</f>
        <v>0.18743049689440994</v>
      </c>
      <c r="I35" s="21">
        <f>IFERROR(I34/I13,0)</f>
        <v>0.16961631393186505</v>
      </c>
      <c r="J35" s="21">
        <f>IFERROR(J34/J13,0)</f>
        <v>0.20400782089552238</v>
      </c>
      <c r="K35" s="21">
        <f>IFERROR(K34/K13,0)</f>
        <v>0.21280789306320294</v>
      </c>
      <c r="L35" s="21">
        <f>IFERROR(L34/L13,0)</f>
        <v>0.22542870786516853</v>
      </c>
      <c r="M35" s="21">
        <f>IFERROR(M34/M13,0)</f>
        <v>0.22517946857513493</v>
      </c>
      <c r="N35" s="21">
        <f>IFERROR(N34/N13,0)</f>
        <v>0.24902032</v>
      </c>
      <c r="O35" s="21">
        <f>IFERROR(O34/O13,0)</f>
        <v>0.2658180174751431</v>
      </c>
      <c r="P35" s="21">
        <f>IFERROR(P34/P13,0)</f>
        <v>0.23519733695652173</v>
      </c>
      <c r="Q35" s="21">
        <f>IFERROR(Q34/Q13,0)</f>
        <v>0.24684174218926902</v>
      </c>
      <c r="R35" s="21">
        <f>IFERROR(R34/R13,0)</f>
        <v>0.20962645161290322</v>
      </c>
      <c r="S35" s="21">
        <f>IFERROR(S34/S13,0)</f>
        <v>0.20191915429503893</v>
      </c>
      <c r="T35" s="21">
        <f>IFERROR(T34/T13,0)</f>
        <v>0.19418481707317073</v>
      </c>
      <c r="U35" s="21">
        <f>IFERROR(U34/U13,0)</f>
        <v>0.1956774539516892</v>
      </c>
      <c r="V35" s="21">
        <f>IFERROR(V34/V13,0)</f>
        <v>0.18676734567901235</v>
      </c>
      <c r="W35" s="21">
        <f>IFERROR(W34/W13,0)</f>
        <v>0.16160044703805537</v>
      </c>
      <c r="X35" s="21">
        <f>IFERROR(X34/X13,0)</f>
        <v>0.2797583622828784</v>
      </c>
      <c r="Y35" s="21">
        <f>IFERROR(Y34/Y13,0)</f>
        <v>0.28041601811235317</v>
      </c>
      <c r="Z35" s="30">
        <f>IFERROR(SUM(B34,D34,F34,H34,J34,L34,N34,P34,R34,T34,V34,X34)/SUM(B13,D13,F13,H13,J13,L13,N13,P13,R13,T13,V13,X13),0)</f>
        <v>0.20494348170128585</v>
      </c>
      <c r="AA35" s="30">
        <f>IFERROR(SUM(C34,E34,G34,I34,K34,M34,O34,Q34,S34,U34,W34,Y34)/SUM(C13,E13,G13,I13,K13,M13,O13,Q13,S13,U13,W13,Y13),0)</f>
        <v>0.20524700048626868</v>
      </c>
      <c r="AB35" s="30">
        <f>AA35-Z35</f>
        <v>0.00030351878498283</v>
      </c>
    </row>
    <row r="36" ht="21" customHeight="1"/>
    <row r="37" ht="21" customHeight="1">
      <c r="A37" t="str" s="9">
        <v>PRIME COST CHECK</v>
      </c>
    </row>
    <row r="38" ht="21" customHeight="1">
      <c r="A38" t="str" s="29">
        <v>Total labor</v>
      </c>
      <c r="B38" s="24">
        <f>B17+B24</f>
        <v>49893.69</v>
      </c>
      <c r="C38" s="24">
        <f>C17+C24</f>
        <v>47899</v>
      </c>
      <c r="D38" s="24">
        <f>D17+D24</f>
        <v>49893.69</v>
      </c>
      <c r="E38" s="24">
        <f>E17+E24</f>
        <v>46928</v>
      </c>
      <c r="F38" s="24">
        <f>F17+F24</f>
        <v>49893.69</v>
      </c>
      <c r="G38" s="24">
        <f>G17+G24</f>
        <v>48948</v>
      </c>
      <c r="H38" s="24">
        <f>H17+H24</f>
        <v>49893.69</v>
      </c>
      <c r="I38" s="24">
        <f>I17+I24</f>
        <v>49971</v>
      </c>
      <c r="J38" s="24">
        <f>J17+J24</f>
        <v>49893.69</v>
      </c>
      <c r="K38" s="24">
        <f>K17+K24</f>
        <v>51493</v>
      </c>
      <c r="L38" s="24">
        <f>L17+L24</f>
        <v>49893.69</v>
      </c>
      <c r="M38" s="24">
        <f>M17+M24</f>
        <v>52517</v>
      </c>
      <c r="N38" s="24">
        <f>N17+N24</f>
        <v>49893.69</v>
      </c>
      <c r="O38" s="24">
        <f>O17+O24</f>
        <v>53540</v>
      </c>
      <c r="P38" s="24">
        <f>P17+P24</f>
        <v>49893.69</v>
      </c>
      <c r="Q38" s="24">
        <f>Q17+Q24</f>
        <v>52567</v>
      </c>
      <c r="R38" s="24">
        <f>R17+R24</f>
        <v>49893.69</v>
      </c>
      <c r="S38" s="24">
        <f>S17+S24</f>
        <v>50596</v>
      </c>
      <c r="T38" s="24">
        <f>T17+T24</f>
        <v>49893.69</v>
      </c>
      <c r="U38" s="24">
        <f>U17+U24</f>
        <v>49622</v>
      </c>
      <c r="V38" s="24">
        <f>V17+V24</f>
        <v>49893.69</v>
      </c>
      <c r="W38" s="24">
        <f>W17+W24</f>
        <v>50146</v>
      </c>
      <c r="X38" s="24">
        <f>X17+X24</f>
        <v>49893.69</v>
      </c>
      <c r="Y38" s="24">
        <f>Y17+Y24</f>
        <v>54161</v>
      </c>
      <c r="Z38" s="28">
        <f>SUM(B38,D38,F38,H38,J38,L38,N38,P38,R38,T38,V38,X38)</f>
        <v>598724.28</v>
      </c>
      <c r="AA38" s="28">
        <f>SUM(C38,E38,G38,I38,K38,M38,O38,Q38,S38,U38,W38,Y38)</f>
        <v>608388</v>
      </c>
      <c r="AB38" s="28">
        <f>AA38-Z38</f>
        <v>9663.72</v>
      </c>
    </row>
    <row r="39" ht="21" customHeight="1">
      <c r="A39" t="str" s="29">
        <v>Prime cost</v>
      </c>
      <c r="B39" s="20">
        <f>B16+B38</f>
        <v>96083.69</v>
      </c>
      <c r="C39" s="20">
        <f>C16+C38</f>
        <v>93047</v>
      </c>
      <c r="D39" s="20">
        <f>D16+D38</f>
        <v>94068.69</v>
      </c>
      <c r="E39" s="20">
        <f>E16+E38</f>
        <v>90145</v>
      </c>
      <c r="F39" s="20">
        <f>F16+F38</f>
        <v>97788.69</v>
      </c>
      <c r="G39" s="20">
        <f>G16+G38</f>
        <v>96634</v>
      </c>
      <c r="H39" s="20">
        <f>H16+H38</f>
        <v>99803.69</v>
      </c>
      <c r="I39" s="20">
        <f>I16+I38</f>
        <v>100246</v>
      </c>
      <c r="J39" s="20">
        <f>J16+J38</f>
        <v>101818.69</v>
      </c>
      <c r="K39" s="20">
        <f>K16+K38</f>
        <v>105424</v>
      </c>
      <c r="L39" s="20">
        <f>L16+L38</f>
        <v>105073.69</v>
      </c>
      <c r="M39" s="20">
        <f>M16+M38</f>
        <v>107823</v>
      </c>
      <c r="N39" s="20">
        <f>N16+N38</f>
        <v>108018.69</v>
      </c>
      <c r="O39" s="20">
        <f>O16+O38</f>
        <v>112884</v>
      </c>
      <c r="P39" s="20">
        <f>P16+P38</f>
        <v>106933.69</v>
      </c>
      <c r="Q39" s="20">
        <f>Q16+Q38</f>
        <v>109727</v>
      </c>
      <c r="R39" s="20">
        <f>R16+R38</f>
        <v>102748.69</v>
      </c>
      <c r="S39" s="20">
        <f>S16+S38</f>
        <v>103367</v>
      </c>
      <c r="T39" s="20">
        <f>T16+T38</f>
        <v>100733.69</v>
      </c>
      <c r="U39" s="20">
        <f>U16+U38</f>
        <v>102068</v>
      </c>
      <c r="V39" s="20">
        <f>V16+V38</f>
        <v>100113.69</v>
      </c>
      <c r="W39" s="20">
        <f>W16+W38</f>
        <v>100382</v>
      </c>
      <c r="X39" s="20">
        <f>X16+X38</f>
        <v>112358.69</v>
      </c>
      <c r="Y39" s="20">
        <f>Y16+Y38</f>
        <v>119248</v>
      </c>
      <c r="Z39" s="28">
        <f>SUM(B39,D39,F39,H39,J39,L39,N39,P39,R39,T39,V39,X39)</f>
        <v>1225544.28</v>
      </c>
      <c r="AA39" s="28">
        <f>SUM(C39,E39,G39,I39,K39,M39,O39,Q39,S39,U39,W39,Y39)</f>
        <v>1240995</v>
      </c>
      <c r="AB39" s="28">
        <f>AA39-Z39</f>
        <v>15450.72</v>
      </c>
    </row>
    <row r="40" ht="21" customHeight="1">
      <c r="A40" t="str" s="29">
        <v>Prime cost %</v>
      </c>
      <c r="B40" s="21">
        <f>IFERROR(B39/B13,0)</f>
        <v>0.6448569798657718</v>
      </c>
      <c r="C40" s="21">
        <f>IFERROR(C39/C13,0)</f>
        <v>0.649189272158964</v>
      </c>
      <c r="D40" s="21">
        <f>IFERROR(D39/D13,0)</f>
        <v>0.6601311578947369</v>
      </c>
      <c r="E40" s="21">
        <f>IFERROR(E39/E13,0)</f>
        <v>0.6716512435364418</v>
      </c>
      <c r="F40" s="21">
        <f>IFERROR(F39/F13,0)</f>
        <v>0.6329365048543689</v>
      </c>
      <c r="G40" s="21">
        <f>IFERROR(G39/G13,0)</f>
        <v>0.6180699465295367</v>
      </c>
      <c r="H40" s="21">
        <f>IFERROR(H39/H13,0)</f>
        <v>0.6198986956521739</v>
      </c>
      <c r="I40" s="21">
        <f>IFERROR(I39/I13,0)</f>
        <v>0.634075067363281</v>
      </c>
      <c r="J40" s="21">
        <f>IFERROR(J39/J13,0)</f>
        <v>0.6078727761194029</v>
      </c>
      <c r="K40" s="21">
        <f>IFERROR(K39/K13,0)</f>
        <v>0.6040347670641082</v>
      </c>
      <c r="L40" s="21">
        <f>IFERROR(L39/L13,0)</f>
        <v>0.5903016292134832</v>
      </c>
      <c r="M40" s="21">
        <f>IFERROR(M39/M13,0)</f>
        <v>0.5926750436990864</v>
      </c>
      <c r="N40" s="21">
        <f>IFERROR(N39/N13,0)</f>
        <v>0.57609968</v>
      </c>
      <c r="O40" s="21">
        <f>IFERROR(O39/O13,0)</f>
        <v>0.5668574871949382</v>
      </c>
      <c r="P40" s="21">
        <f>IFERROR(P39/P13,0)</f>
        <v>0.5811613586956522</v>
      </c>
      <c r="Q40" s="21">
        <f>IFERROR(Q39/Q13,0)</f>
        <v>0.5778176820309744</v>
      </c>
      <c r="R40" s="21">
        <f>IFERROR(R39/R13,0)</f>
        <v>0.6026316129032258</v>
      </c>
      <c r="S40" s="21">
        <f>IFERROR(S39/S13,0)</f>
        <v>0.6111436291290492</v>
      </c>
      <c r="T40" s="21">
        <f>IFERROR(T39/T13,0)</f>
        <v>0.6142298170731707</v>
      </c>
      <c r="U40" s="21">
        <f>IFERROR(U39/U13,0)</f>
        <v>0.6149897268734146</v>
      </c>
      <c r="V40" s="21">
        <f>IFERROR(V39/V13,0)</f>
        <v>0.6179857407407408</v>
      </c>
      <c r="W40" s="21">
        <f>IFERROR(W39/W13,0)</f>
        <v>0.6374229272102666</v>
      </c>
      <c r="X40" s="21">
        <f>IFERROR(X39/X13,0)</f>
        <v>0.557611364764268</v>
      </c>
      <c r="Y40" s="21">
        <f>IFERROR(Y39/Y13,0)</f>
        <v>0.5624640347153436</v>
      </c>
      <c r="Z40" s="30">
        <f>IFERROR(SUM(B39,D39,F39,H39,J39,L39,N39,P39,R39,T39,V39,X39)/SUM(B13,D13,F13,H13,J13,L13,N13,P13,R13,T13,V13,X13),0)</f>
        <v>0.6061049851632048</v>
      </c>
      <c r="AA40" s="30">
        <f>IFERROR(SUM(C39,E39,G39,I39,K39,M39,O39,Q39,S39,U39,W39,Y39)/SUM(C13,E13,G13,I13,K13,M13,O13,Q13,S13,U13,W13,Y13),0)</f>
        <v>0.6077109575966869</v>
      </c>
      <c r="AB40" s="30">
        <f>AA40-Z40</f>
        <v>0.0016059724334821</v>
      </c>
    </row>
    <row r="41" ht="21" customHeight="1"/>
    <row r="42" ht="31.5" customHeight="1">
      <c r="A42" t="str" s="26">
        <v>Planning template only. Replace every sample amount and assumption with figures from your own operation. No industry benchmarks are applied.</v>
      </c>
    </row>
  </sheetData>
  <mergeCells count="24">
    <mergeCell ref="A1:N1"/>
    <mergeCell ref="O1:AB1"/>
    <mergeCell ref="A2:AB2"/>
    <mergeCell ref="A3:AB3"/>
    <mergeCell ref="A4:I4"/>
    <mergeCell ref="J4:S4"/>
    <mergeCell ref="T4:AB4"/>
    <mergeCell ref="B6:C6"/>
    <mergeCell ref="D6:E6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A8:AB8"/>
    <mergeCell ref="A15:AB15"/>
    <mergeCell ref="A23:AB23"/>
    <mergeCell ref="A37:AB37"/>
    <mergeCell ref="A42:AB42"/>
  </mergeCells>
  <ignoredErrors>
    <ignoredError numberStoredAsText="1" sqref="A1:AB42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V19"/>
  <sheetViews>
    <sheetView workbookViewId="0" showGridLines="0"/>
  </sheetViews>
  <sheetFormatPr defaultColWidth="14.6640625" defaultRowHeight="18"/>
  <cols>
    <col min="1" max="1" width="28.33203125" customWidth="1"/>
    <col min="2" max="2" width="15.00390625" customWidth="1"/>
    <col min="3" max="3" width="13.6640625" customWidth="1"/>
    <col min="4" max="4" width="15.33203125" customWidth="1"/>
    <col min="5" max="5" width="17.33203125" customWidth="1"/>
    <col min="6" max="6" width="15.33203125" customWidth="1"/>
    <col min="7" max="7" width="18.6640625" customWidth="1"/>
    <col min="8" max="8" width="15.6640625" customWidth="1"/>
    <col min="9" max="9" width="15.6640625" customWidth="1"/>
    <col min="10" max="10" width="15.6640625" customWidth="1"/>
    <col min="11" max="11" width="15.6640625" customWidth="1"/>
    <col min="12" max="12" width="15.6640625" customWidth="1"/>
    <col min="13" max="13" width="15.6640625" customWidth="1"/>
    <col min="14" max="14" width="15.6640625" customWidth="1"/>
    <col min="15" max="15" width="15.6640625" customWidth="1"/>
    <col min="16" max="16" width="15.6640625" customWidth="1"/>
    <col min="17" max="17" width="15.6640625" customWidth="1"/>
    <col min="18" max="18" width="15.6640625" customWidth="1"/>
    <col min="19" max="19" width="15.6640625" customWidth="1"/>
    <col min="20" max="20" width="18.00390625" customWidth="1"/>
    <col min="21" max="21" width="18.00390625" customWidth="1"/>
    <col min="22" max="22" width="16.6640625" customWidth="1"/>
  </cols>
  <sheetData>
    <row r="1" ht="40.5" customHeight="1">
      <c r="A1" t="str" s="5">
        <v>Staffing &amp; Labor Plan</v>
      </c>
      <c r="L1" t="str" s="6">
        <v>ROLE-LEVEL MONTHLY LABOR</v>
      </c>
    </row>
    <row r="2" ht="22.5" customHeight="1">
      <c r="A2" t="str" s="7">
        <v>Set headcount, rates, and scheduled hours once; monthly actual labor rolls into the operating budget automatically.</v>
      </c>
    </row>
    <row r="3" ht="6" customHeight="1">
      <c r="A3" s="8"/>
    </row>
    <row r="4" ht="18" customHeight="1">
      <c r="A4" t="str" s="9">
        <v>Orange cells are editable inputs</v>
      </c>
      <c r="H4" t="str" s="10">
        <v>Planned monthly labor is calculated</v>
      </c>
      <c r="P4" t="str" s="11">
        <v>Actual labor feeds the budget</v>
      </c>
    </row>
    <row r="6" ht="22.5" customHeight="1">
      <c r="A6" t="str" s="16">
        <v>Role</v>
      </c>
      <c r="B6" t="str" s="17">
        <v>Pay type</v>
      </c>
      <c r="C6" t="str" s="17">
        <v>Headcount</v>
      </c>
      <c r="D6" t="str" s="17">
        <v>Hourly rate</v>
      </c>
      <c r="E6" t="str" s="17">
        <v>Monthly salary</v>
      </c>
      <c r="F6" t="str" s="17">
        <v>Hours / week</v>
      </c>
      <c r="G6" t="str" s="17">
        <v>Planned / month</v>
      </c>
      <c r="H6" t="str" s="17">
        <v>Jan actual</v>
      </c>
      <c r="I6" t="str" s="17">
        <v>Feb actual</v>
      </c>
      <c r="J6" t="str" s="17">
        <v>Mar actual</v>
      </c>
      <c r="K6" t="str" s="17">
        <v>Apr actual</v>
      </c>
      <c r="L6" t="str" s="17">
        <v>May actual</v>
      </c>
      <c r="M6" t="str" s="17">
        <v>Jun actual</v>
      </c>
      <c r="N6" t="str" s="17">
        <v>Jul actual</v>
      </c>
      <c r="O6" t="str" s="17">
        <v>Aug actual</v>
      </c>
      <c r="P6" t="str" s="17">
        <v>Sep actual</v>
      </c>
      <c r="Q6" t="str" s="17">
        <v>Oct actual</v>
      </c>
      <c r="R6" t="str" s="17">
        <v>Nov actual</v>
      </c>
      <c r="S6" t="str" s="17">
        <v>Dec actual</v>
      </c>
      <c r="T6" t="str" s="17">
        <v>Annual plan</v>
      </c>
      <c r="U6" t="str" s="17">
        <v>Annual actual</v>
      </c>
      <c r="V6" t="str" s="18">
        <v>Variance</v>
      </c>
    </row>
    <row r="7" ht="22.5" customHeight="1">
      <c r="A7" t="str" s="19">
        <v>General Manager</v>
      </c>
      <c r="B7" t="str" s="22">
        <v>Salaried</v>
      </c>
      <c r="C7" s="31">
        <v>1</v>
      </c>
      <c r="D7" s="27">
        <v>0</v>
      </c>
      <c r="E7" s="27">
        <v>6000</v>
      </c>
      <c r="F7" s="32">
        <v>0</v>
      </c>
      <c r="G7" s="20">
        <f>IF(B7="Hourly",C7*D7*F7*'Assumptions &amp; Categories'!$B$10,C7*E7)</f>
        <v>6000</v>
      </c>
      <c r="H7" s="27">
        <v>5736</v>
      </c>
      <c r="I7" s="27">
        <v>5619</v>
      </c>
      <c r="J7" s="27">
        <v>5862</v>
      </c>
      <c r="K7" s="27">
        <v>5985</v>
      </c>
      <c r="L7" s="27">
        <v>6168</v>
      </c>
      <c r="M7" s="27">
        <v>6291</v>
      </c>
      <c r="N7" s="27">
        <v>6414</v>
      </c>
      <c r="O7" s="27">
        <v>6297</v>
      </c>
      <c r="P7" s="27">
        <v>6060</v>
      </c>
      <c r="Q7" s="27">
        <v>5943</v>
      </c>
      <c r="R7" s="27">
        <v>6006</v>
      </c>
      <c r="S7" s="27">
        <v>6489</v>
      </c>
      <c r="T7" s="28">
        <f>G7*12</f>
        <v>72000</v>
      </c>
      <c r="U7" s="28">
        <f>SUM(H7:S7)</f>
        <v>72870</v>
      </c>
      <c r="V7" s="28">
        <f>U7-T7</f>
        <v>870</v>
      </c>
    </row>
    <row r="8" ht="22.5" customHeight="1">
      <c r="A8" t="str" s="23">
        <v>Kitchen Manager</v>
      </c>
      <c r="B8" t="str" s="25">
        <v>Salaried</v>
      </c>
      <c r="C8" s="31">
        <v>1</v>
      </c>
      <c r="D8" s="27">
        <v>0</v>
      </c>
      <c r="E8" s="27">
        <v>5200</v>
      </c>
      <c r="F8" s="32">
        <v>0</v>
      </c>
      <c r="G8" s="24">
        <f>IF(B8="Hourly",C8*D8*F8*'Assumptions &amp; Categories'!$B$10,C8*E8)</f>
        <v>5200</v>
      </c>
      <c r="H8" s="27">
        <v>4992</v>
      </c>
      <c r="I8" s="27">
        <v>4891</v>
      </c>
      <c r="J8" s="27">
        <v>5101</v>
      </c>
      <c r="K8" s="27">
        <v>5208</v>
      </c>
      <c r="L8" s="27">
        <v>5366</v>
      </c>
      <c r="M8" s="27">
        <v>5473</v>
      </c>
      <c r="N8" s="27">
        <v>5580</v>
      </c>
      <c r="O8" s="27">
        <v>5478</v>
      </c>
      <c r="P8" s="27">
        <v>5273</v>
      </c>
      <c r="Q8" s="27">
        <v>5171</v>
      </c>
      <c r="R8" s="27">
        <v>5226</v>
      </c>
      <c r="S8" s="27">
        <v>5645</v>
      </c>
      <c r="T8" s="28">
        <f>G8*12</f>
        <v>62400</v>
      </c>
      <c r="U8" s="28">
        <f>SUM(H8:S8)</f>
        <v>63404</v>
      </c>
      <c r="V8" s="28">
        <f>U8-T8</f>
        <v>1004</v>
      </c>
    </row>
    <row r="9" ht="22.5" customHeight="1">
      <c r="A9" t="str" s="19">
        <v>FOH Lead</v>
      </c>
      <c r="B9" t="str" s="22">
        <v>Hourly</v>
      </c>
      <c r="C9" s="31">
        <v>2</v>
      </c>
      <c r="D9" s="27">
        <v>23</v>
      </c>
      <c r="E9" s="27">
        <v>0</v>
      </c>
      <c r="F9" s="32">
        <v>32</v>
      </c>
      <c r="G9" s="20">
        <f>IF(B9="Hourly",C9*D9*F9*'Assumptions &amp; Categories'!$B$10,C9*E9)</f>
        <v>6378.176</v>
      </c>
      <c r="H9" s="27">
        <v>6149</v>
      </c>
      <c r="I9" s="27">
        <v>6024</v>
      </c>
      <c r="J9" s="27">
        <v>6283</v>
      </c>
      <c r="K9" s="27">
        <v>6413</v>
      </c>
      <c r="L9" s="27">
        <v>6608</v>
      </c>
      <c r="M9" s="27">
        <v>6739</v>
      </c>
      <c r="N9" s="27">
        <v>6869</v>
      </c>
      <c r="O9" s="27">
        <v>6745</v>
      </c>
      <c r="P9" s="27">
        <v>6493</v>
      </c>
      <c r="Q9" s="27">
        <v>6369</v>
      </c>
      <c r="R9" s="27">
        <v>6436</v>
      </c>
      <c r="S9" s="27">
        <v>6949</v>
      </c>
      <c r="T9" s="28">
        <f>G9*12</f>
        <v>76538.112</v>
      </c>
      <c r="U9" s="28">
        <f>SUM(H9:S9)</f>
        <v>78077</v>
      </c>
      <c r="V9" s="28">
        <f>U9-T9</f>
        <v>1538.888</v>
      </c>
    </row>
    <row r="10" ht="22.5" customHeight="1">
      <c r="A10" t="str" s="23">
        <v>Servers</v>
      </c>
      <c r="B10" t="str" s="25">
        <v>Hourly</v>
      </c>
      <c r="C10" s="31">
        <v>5</v>
      </c>
      <c r="D10" s="27">
        <v>16</v>
      </c>
      <c r="E10" s="27">
        <v>0</v>
      </c>
      <c r="F10" s="32">
        <v>24</v>
      </c>
      <c r="G10" s="24">
        <f>IF(B10="Hourly",C10*D10*F10*'Assumptions &amp; Categories'!$B$10,C10*E10)</f>
        <v>8319.36</v>
      </c>
      <c r="H10" s="27">
        <v>7953</v>
      </c>
      <c r="I10" s="27">
        <v>7791</v>
      </c>
      <c r="J10" s="27">
        <v>8128</v>
      </c>
      <c r="K10" s="27">
        <v>8299</v>
      </c>
      <c r="L10" s="27">
        <v>8552</v>
      </c>
      <c r="M10" s="27">
        <v>8723</v>
      </c>
      <c r="N10" s="27">
        <v>8893</v>
      </c>
      <c r="O10" s="27">
        <v>8731</v>
      </c>
      <c r="P10" s="27">
        <v>8403</v>
      </c>
      <c r="Q10" s="27">
        <v>8240</v>
      </c>
      <c r="R10" s="27">
        <v>8328</v>
      </c>
      <c r="S10" s="27">
        <v>8997</v>
      </c>
      <c r="T10" s="28">
        <f>G10*12</f>
        <v>99832.32</v>
      </c>
      <c r="U10" s="28">
        <f>SUM(H10:S10)</f>
        <v>101038</v>
      </c>
      <c r="V10" s="28">
        <f>U10-T10</f>
        <v>1205.68</v>
      </c>
    </row>
    <row r="11" ht="22.5" customHeight="1">
      <c r="A11" t="str" s="19">
        <v>Bartenders</v>
      </c>
      <c r="B11" t="str" s="22">
        <v>Hourly</v>
      </c>
      <c r="C11" s="31">
        <v>2</v>
      </c>
      <c r="D11" s="27">
        <v>18</v>
      </c>
      <c r="E11" s="27">
        <v>0</v>
      </c>
      <c r="F11" s="32">
        <v>20</v>
      </c>
      <c r="G11" s="20">
        <f>IF(B11="Hourly",C11*D11*F11*'Assumptions &amp; Categories'!$B$10,C11*E11)</f>
        <v>3119.76</v>
      </c>
      <c r="H11" s="27">
        <v>2995</v>
      </c>
      <c r="I11" s="27">
        <v>2934</v>
      </c>
      <c r="J11" s="27">
        <v>3060</v>
      </c>
      <c r="K11" s="27">
        <v>3124</v>
      </c>
      <c r="L11" s="27">
        <v>3220</v>
      </c>
      <c r="M11" s="27">
        <v>3284</v>
      </c>
      <c r="N11" s="27">
        <v>3348</v>
      </c>
      <c r="O11" s="27">
        <v>3287</v>
      </c>
      <c r="P11" s="27">
        <v>3163</v>
      </c>
      <c r="Q11" s="27">
        <v>3103</v>
      </c>
      <c r="R11" s="27">
        <v>3135</v>
      </c>
      <c r="S11" s="27">
        <v>3386</v>
      </c>
      <c r="T11" s="28">
        <f>G11*12</f>
        <v>37437.12</v>
      </c>
      <c r="U11" s="28">
        <f>SUM(H11:S11)</f>
        <v>38039</v>
      </c>
      <c r="V11" s="28">
        <f>U11-T11</f>
        <v>601.88</v>
      </c>
    </row>
    <row r="12" ht="22.5" customHeight="1">
      <c r="A12" t="str" s="23">
        <v>Line Cooks</v>
      </c>
      <c r="B12" t="str" s="25">
        <v>Hourly</v>
      </c>
      <c r="C12" s="31">
        <v>4</v>
      </c>
      <c r="D12" s="27">
        <v>19</v>
      </c>
      <c r="E12" s="27">
        <v>0</v>
      </c>
      <c r="F12" s="32">
        <v>32</v>
      </c>
      <c r="G12" s="24">
        <f>IF(B12="Hourly",C12*D12*F12*'Assumptions &amp; Categories'!$B$10,C12*E12)</f>
        <v>10537.856</v>
      </c>
      <c r="H12" s="27">
        <v>10158</v>
      </c>
      <c r="I12" s="27">
        <v>9953</v>
      </c>
      <c r="J12" s="27">
        <v>10380</v>
      </c>
      <c r="K12" s="27">
        <v>10596</v>
      </c>
      <c r="L12" s="27">
        <v>10917</v>
      </c>
      <c r="M12" s="27">
        <v>11133</v>
      </c>
      <c r="N12" s="27">
        <v>11349</v>
      </c>
      <c r="O12" s="27">
        <v>11144</v>
      </c>
      <c r="P12" s="27">
        <v>10728</v>
      </c>
      <c r="Q12" s="27">
        <v>10522</v>
      </c>
      <c r="R12" s="27">
        <v>10633</v>
      </c>
      <c r="S12" s="27">
        <v>11481</v>
      </c>
      <c r="T12" s="28">
        <f>G12*12</f>
        <v>126454.272</v>
      </c>
      <c r="U12" s="28">
        <f>SUM(H12:S12)</f>
        <v>128994</v>
      </c>
      <c r="V12" s="28">
        <f>U12-T12</f>
        <v>2539.728</v>
      </c>
    </row>
    <row r="13" ht="22.5" customHeight="1">
      <c r="A13" t="str" s="19">
        <v>Prep Cooks</v>
      </c>
      <c r="B13" t="str" s="22">
        <v>Hourly</v>
      </c>
      <c r="C13" s="31">
        <v>2</v>
      </c>
      <c r="D13" s="27">
        <v>17</v>
      </c>
      <c r="E13" s="27">
        <v>0</v>
      </c>
      <c r="F13" s="32">
        <v>24</v>
      </c>
      <c r="G13" s="20">
        <f>IF(B13="Hourly",C13*D13*F13*'Assumptions &amp; Categories'!$B$10,C13*E13)</f>
        <v>3535.728</v>
      </c>
      <c r="H13" s="27">
        <v>3380</v>
      </c>
      <c r="I13" s="27">
        <v>3311</v>
      </c>
      <c r="J13" s="27">
        <v>3454</v>
      </c>
      <c r="K13" s="27">
        <v>3527</v>
      </c>
      <c r="L13" s="27">
        <v>3635</v>
      </c>
      <c r="M13" s="27">
        <v>3707</v>
      </c>
      <c r="N13" s="27">
        <v>3780</v>
      </c>
      <c r="O13" s="27">
        <v>3711</v>
      </c>
      <c r="P13" s="27">
        <v>3571</v>
      </c>
      <c r="Q13" s="27">
        <v>3502</v>
      </c>
      <c r="R13" s="27">
        <v>3539</v>
      </c>
      <c r="S13" s="27">
        <v>3824</v>
      </c>
      <c r="T13" s="28">
        <f>G13*12</f>
        <v>42428.736</v>
      </c>
      <c r="U13" s="28">
        <f>SUM(H13:S13)</f>
        <v>42941</v>
      </c>
      <c r="V13" s="28">
        <f>U13-T13</f>
        <v>512.264</v>
      </c>
    </row>
    <row r="14" ht="22.5" customHeight="1">
      <c r="A14" t="str" s="23">
        <v>Dishwashers</v>
      </c>
      <c r="B14" t="str" s="25">
        <v>Hourly</v>
      </c>
      <c r="C14" s="31">
        <v>2</v>
      </c>
      <c r="D14" s="27">
        <v>15</v>
      </c>
      <c r="E14" s="27">
        <v>0</v>
      </c>
      <c r="F14" s="32">
        <v>22</v>
      </c>
      <c r="G14" s="24">
        <f>IF(B14="Hourly",C14*D14*F14*'Assumptions &amp; Categories'!$B$10,C14*E14)</f>
        <v>2859.78</v>
      </c>
      <c r="H14" s="27">
        <v>2745</v>
      </c>
      <c r="I14" s="27">
        <v>2690</v>
      </c>
      <c r="J14" s="27">
        <v>2805</v>
      </c>
      <c r="K14" s="27">
        <v>2864</v>
      </c>
      <c r="L14" s="27">
        <v>2951</v>
      </c>
      <c r="M14" s="27">
        <v>3010</v>
      </c>
      <c r="N14" s="27">
        <v>3069</v>
      </c>
      <c r="O14" s="27">
        <v>3013</v>
      </c>
      <c r="P14" s="27">
        <v>2900</v>
      </c>
      <c r="Q14" s="27">
        <v>2844</v>
      </c>
      <c r="R14" s="27">
        <v>2874</v>
      </c>
      <c r="S14" s="27">
        <v>3104</v>
      </c>
      <c r="T14" s="28">
        <f>G14*12</f>
        <v>34317.36</v>
      </c>
      <c r="U14" s="28">
        <f>SUM(H14:S14)</f>
        <v>34869</v>
      </c>
      <c r="V14" s="28">
        <f>U14-T14</f>
        <v>551.64</v>
      </c>
    </row>
    <row r="15" ht="22.5" customHeight="1">
      <c r="A15" t="str" s="19">
        <v>Hosts / Cashiers</v>
      </c>
      <c r="B15" t="str" s="22">
        <v>Hourly</v>
      </c>
      <c r="C15" s="31">
        <v>2</v>
      </c>
      <c r="D15" s="27">
        <v>16</v>
      </c>
      <c r="E15" s="27">
        <v>0</v>
      </c>
      <c r="F15" s="32">
        <v>20</v>
      </c>
      <c r="G15" s="20">
        <f>IF(B15="Hourly",C15*D15*F15*'Assumptions &amp; Categories'!$B$10,C15*E15)</f>
        <v>2773.12</v>
      </c>
      <c r="H15" s="27">
        <v>2673</v>
      </c>
      <c r="I15" s="27">
        <v>2619</v>
      </c>
      <c r="J15" s="27">
        <v>2732</v>
      </c>
      <c r="K15" s="27">
        <v>2788</v>
      </c>
      <c r="L15" s="27">
        <v>2873</v>
      </c>
      <c r="M15" s="27">
        <v>2930</v>
      </c>
      <c r="N15" s="27">
        <v>2987</v>
      </c>
      <c r="O15" s="27">
        <v>2933</v>
      </c>
      <c r="P15" s="27">
        <v>2823</v>
      </c>
      <c r="Q15" s="27">
        <v>2769</v>
      </c>
      <c r="R15" s="27">
        <v>2798</v>
      </c>
      <c r="S15" s="27">
        <v>3021</v>
      </c>
      <c r="T15" s="28">
        <f>G15*12</f>
        <v>33277.44</v>
      </c>
      <c r="U15" s="28">
        <f>SUM(H15:S15)</f>
        <v>33946</v>
      </c>
      <c r="V15" s="28">
        <f>U15-T15</f>
        <v>668.56</v>
      </c>
    </row>
    <row r="16" ht="22.5" customHeight="1">
      <c r="A16" t="str" s="23">
        <v>Delivery / Catering</v>
      </c>
      <c r="B16" t="str" s="25">
        <v>Hourly</v>
      </c>
      <c r="C16" s="31">
        <v>1</v>
      </c>
      <c r="D16" s="27">
        <v>18</v>
      </c>
      <c r="E16" s="27">
        <v>0</v>
      </c>
      <c r="F16" s="32">
        <v>15</v>
      </c>
      <c r="G16" s="24">
        <f>IF(B16="Hourly",C16*D16*F16*'Assumptions &amp; Categories'!$B$10,C16*E16)</f>
        <v>1169.91</v>
      </c>
      <c r="H16" s="27">
        <v>1118</v>
      </c>
      <c r="I16" s="27">
        <v>1096</v>
      </c>
      <c r="J16" s="27">
        <v>1143</v>
      </c>
      <c r="K16" s="27">
        <v>1167</v>
      </c>
      <c r="L16" s="27">
        <v>1203</v>
      </c>
      <c r="M16" s="27">
        <v>1227</v>
      </c>
      <c r="N16" s="27">
        <v>1251</v>
      </c>
      <c r="O16" s="27">
        <v>1228</v>
      </c>
      <c r="P16" s="27">
        <v>1182</v>
      </c>
      <c r="Q16" s="27">
        <v>1159</v>
      </c>
      <c r="R16" s="27">
        <v>1171</v>
      </c>
      <c r="S16" s="27">
        <v>1265</v>
      </c>
      <c r="T16" s="28">
        <f>G16*12</f>
        <v>14038.92</v>
      </c>
      <c r="U16" s="28">
        <f>SUM(H16:S16)</f>
        <v>14210</v>
      </c>
      <c r="V16" s="28">
        <f>U16-T16</f>
        <v>171.08</v>
      </c>
    </row>
    <row r="17" ht="22.5" customHeight="1">
      <c r="A17" t="str" s="29">
        <v>TOTAL LABOR</v>
      </c>
      <c r="G17" s="28">
        <f>SUM(G7:G16)</f>
        <v>49893.69</v>
      </c>
      <c r="H17" s="28">
        <f>SUM(H7:H16)</f>
        <v>47899</v>
      </c>
      <c r="I17" s="28">
        <f>SUM(I7:I16)</f>
        <v>46928</v>
      </c>
      <c r="J17" s="28">
        <f>SUM(J7:J16)</f>
        <v>48948</v>
      </c>
      <c r="K17" s="28">
        <f>SUM(K7:K16)</f>
        <v>49971</v>
      </c>
      <c r="L17" s="28">
        <f>SUM(L7:L16)</f>
        <v>51493</v>
      </c>
      <c r="M17" s="28">
        <f>SUM(M7:M16)</f>
        <v>52517</v>
      </c>
      <c r="N17" s="28">
        <f>SUM(N7:N16)</f>
        <v>53540</v>
      </c>
      <c r="O17" s="28">
        <f>SUM(O7:O16)</f>
        <v>52567</v>
      </c>
      <c r="P17" s="28">
        <f>SUM(P7:P16)</f>
        <v>50596</v>
      </c>
      <c r="Q17" s="28">
        <f>SUM(Q7:Q16)</f>
        <v>49622</v>
      </c>
      <c r="R17" s="28">
        <f>SUM(R7:R16)</f>
        <v>50146</v>
      </c>
      <c r="S17" s="28">
        <f>SUM(S7:S16)</f>
        <v>54161</v>
      </c>
      <c r="T17" s="28">
        <f>SUM(T7:T16)</f>
        <v>598724.28</v>
      </c>
      <c r="U17" s="28">
        <f>SUM(U7:U16)</f>
        <v>608388</v>
      </c>
      <c r="V17" s="28">
        <f>U17-T17</f>
        <v>9663.72</v>
      </c>
    </row>
    <row r="19" ht="25.5" customHeight="1">
      <c r="A19" t="str" s="33">
        <v>Hourly plan uses headcount × hourly rate × scheduled hours × weeks per month. Salaried plan uses headcount × monthly salary.</v>
      </c>
    </row>
  </sheetData>
  <mergeCells count="8">
    <mergeCell ref="A1:K1"/>
    <mergeCell ref="L1:V1"/>
    <mergeCell ref="A2:V2"/>
    <mergeCell ref="A3:V3"/>
    <mergeCell ref="A4:G4"/>
    <mergeCell ref="H4:O4"/>
    <mergeCell ref="P4:V4"/>
    <mergeCell ref="A19:V19"/>
  </mergeCells>
  <ignoredErrors>
    <ignoredError numberStoredAsText="1" sqref="A1:V19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25"/>
  <sheetViews>
    <sheetView workbookViewId="0" showGridLines="0"/>
  </sheetViews>
  <sheetFormatPr defaultColWidth="14.6640625" defaultRowHeight="18"/>
  <cols>
    <col min="1" max="1" width="40.00390625" customWidth="1"/>
    <col min="2" max="2" width="21.00390625" customWidth="1"/>
    <col min="3" max="3" width="21.00390625" customWidth="1"/>
    <col min="4" max="4" width="21.00390625" customWidth="1"/>
    <col min="5" max="5" width="21.00390625" customWidth="1"/>
    <col min="6" max="6" width="21.00390625" customWidth="1"/>
    <col min="7" max="7" width="21.00390625" customWidth="1"/>
    <col min="8" max="8" width="21.00390625" customWidth="1"/>
  </cols>
  <sheetData>
    <row r="1" ht="40.5" customHeight="1">
      <c r="A1" t="str" s="5">
        <v>Assumptions &amp; Categories</v>
      </c>
      <c r="E1" t="str" s="6">
        <v>YOUR OPERATING INPUTS</v>
      </c>
    </row>
    <row r="2" ht="22.5" customHeight="1">
      <c r="A2" t="str" s="7">
        <v>Keep the few shared drivers in one place, then adapt revenue and cost categories to the way your restaurant actually operates.</v>
      </c>
    </row>
    <row r="3" ht="6" customHeight="1">
      <c r="A3" s="8"/>
    </row>
    <row r="4" ht="18" customHeight="1">
      <c r="A4" t="str" s="9">
        <v>Inputs are examples</v>
      </c>
      <c r="D4" t="str" s="10">
        <v>No industry benchmark targets</v>
      </c>
      <c r="G4" t="str" s="11">
        <v>Update before use</v>
      </c>
    </row>
    <row r="6" ht="18" customHeight="1">
      <c r="A6" t="str" s="9">
        <v>OPERATING ASSUMPTIONS</v>
      </c>
    </row>
    <row r="7" ht="22.5" customHeight="1">
      <c r="A7" t="str" s="19">
        <v>Fiscal year</v>
      </c>
      <c r="B7" s="31">
        <v>2026</v>
      </c>
      <c r="C7" t="str" s="22">
        <v>Calendar year shown across the workbook.</v>
      </c>
    </row>
    <row r="8" ht="22.5" customHeight="1">
      <c r="A8" t="str" s="23">
        <v>Planned food &amp; beverage COGS rate</v>
      </c>
      <c r="B8" s="34">
        <v>0.31</v>
      </c>
      <c r="C8" t="str" s="25">
        <v>User-entered planning assumption applied to planned net sales.</v>
      </c>
    </row>
    <row r="9" ht="22.5" customHeight="1">
      <c r="A9" t="str" s="19">
        <v>Planned delivery / platform fee rate</v>
      </c>
      <c r="B9" s="34">
        <v>0.18</v>
      </c>
      <c r="C9" t="str" s="22">
        <v>User-entered planning assumption applied to planned delivery sales.</v>
      </c>
    </row>
    <row r="10" ht="22.5" customHeight="1">
      <c r="A10" t="str" s="23">
        <v>Weeks per month</v>
      </c>
      <c r="B10" s="32">
        <v>4.333</v>
      </c>
      <c r="C10" t="str" s="25">
        <v>Used to translate hourly staffing into a monthly labor plan.</v>
      </c>
    </row>
    <row r="11" ht="22.5" customHeight="1">
      <c r="A11" t="str" s="19">
        <v>Locations included</v>
      </c>
      <c r="B11" s="31">
        <v>1</v>
      </c>
      <c r="C11" t="str" s="22">
        <v>Duplicate or segment the budget if locations need separate operating views.</v>
      </c>
    </row>
    <row r="12" ht="22.5" customHeight="1"/>
    <row r="13" ht="22.5" customHeight="1">
      <c r="A13" t="str" s="9">
        <v>REVENUE CHANNELS</v>
      </c>
    </row>
    <row r="14" ht="22.5" customHeight="1">
      <c r="A14" t="str" s="23">
        <v>Dine-in</v>
      </c>
      <c r="B14" t="str" s="25">
        <v>On-premise food and beverage sales.</v>
      </c>
    </row>
    <row r="15" ht="22.5" customHeight="1">
      <c r="A15" t="str" s="19">
        <v>Takeout</v>
      </c>
      <c r="B15" t="str" s="22">
        <v>Pickup and counter orders.</v>
      </c>
    </row>
    <row r="16" ht="22.5" customHeight="1">
      <c r="A16" t="str" s="23">
        <v>Delivery</v>
      </c>
      <c r="B16" t="str" s="25">
        <v>Orders fulfilled through owned or third-party delivery.</v>
      </c>
    </row>
    <row r="17" ht="22.5" customHeight="1">
      <c r="A17" t="str" s="19">
        <v>Catering &amp; events</v>
      </c>
      <c r="B17" t="str" s="22">
        <v>Booked catering, private dining, and event sales.</v>
      </c>
    </row>
    <row r="18" ht="22.5" customHeight="1"/>
    <row r="19" ht="22.5" customHeight="1">
      <c r="A19" t="str" s="9">
        <v>COST REVIEW</v>
      </c>
    </row>
    <row r="20" ht="22.5" customHeight="1">
      <c r="A20" t="str" s="23">
        <v>Food &amp; beverage COGS</v>
      </c>
      <c r="B20" t="str" s="25">
        <v>Ingredient and beverage purchases consumed by sales.</v>
      </c>
    </row>
    <row r="21" ht="22.5" customHeight="1">
      <c r="A21" t="str" s="19">
        <v>Hourly + salaried labor</v>
      </c>
      <c r="B21" t="str" s="22">
        <v>Role-level labor from the Staffing &amp; Labor Plan.</v>
      </c>
    </row>
    <row r="22" ht="22.5" customHeight="1">
      <c r="A22" t="str" s="23">
        <v>Delivery / platform fees</v>
      </c>
      <c r="B22" t="str" s="25">
        <v>Delivery commissions and order-platform charges.</v>
      </c>
    </row>
    <row r="23" ht="22.5" customHeight="1">
      <c r="A23" t="str" s="19">
        <v>Operating overhead</v>
      </c>
      <c r="B23" t="str" s="22">
        <v>Rent, utilities, supplies, repairs, marketing, insurance, software, and other overhead.</v>
      </c>
    </row>
    <row r="24" ht="22.5" customHeight="1"/>
    <row r="25" ht="31.5" customHeight="1">
      <c r="A25" t="str" s="26">
        <v>This workbook is an operating-planning aid, not accounting, tax, labor, or financial advice. Replace sample inputs with your own records and policies.</v>
      </c>
    </row>
  </sheetData>
  <mergeCells count="24">
    <mergeCell ref="A1:D1"/>
    <mergeCell ref="E1:H1"/>
    <mergeCell ref="A2:H2"/>
    <mergeCell ref="A3:H3"/>
    <mergeCell ref="A4:C4"/>
    <mergeCell ref="D4:F4"/>
    <mergeCell ref="G4:H4"/>
    <mergeCell ref="A6:H6"/>
    <mergeCell ref="A13:H13"/>
    <mergeCell ref="A19:H19"/>
    <mergeCell ref="A25:H25"/>
    <mergeCell ref="C7:H7"/>
    <mergeCell ref="C8:H8"/>
    <mergeCell ref="C9:H9"/>
    <mergeCell ref="C10:H10"/>
    <mergeCell ref="C11:H11"/>
    <mergeCell ref="B14:H14"/>
    <mergeCell ref="B15:H15"/>
    <mergeCell ref="B16:H16"/>
    <mergeCell ref="B17:H17"/>
    <mergeCell ref="B20:H20"/>
    <mergeCell ref="B21:H21"/>
    <mergeCell ref="B22:H22"/>
    <mergeCell ref="B23:H23"/>
  </mergeCells>
  <ignoredErrors>
    <ignoredError numberStoredAsText="1" sqref="A1:G2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Dashboard</vt:lpstr>
      <vt:lpstr>Operating Budget</vt:lpstr>
      <vt:lpstr>Staffing &amp; Labor Plan</vt:lpstr>
      <vt:lpstr>Assumptions &amp; Categories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